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<sst xmlns="http://schemas.openxmlformats.org/spreadsheetml/2006/main" count="503" uniqueCount="282">
  <si>
    <t>Sestavení rozpočtových nákladů na půdní vestavbu  RD č.p. 382</t>
  </si>
  <si>
    <t>Název stavby:</t>
  </si>
  <si>
    <t>Název stavby, adresa</t>
  </si>
  <si>
    <t>Půdní vestavba RD č.p. 382, Praha - Kyje, parc.č. 1733/1, k.ú. Kyje</t>
  </si>
  <si>
    <t>Druh stavby:</t>
  </si>
  <si>
    <t>Jméno a příjmení stavebníka</t>
  </si>
  <si>
    <t>Petr Ureš</t>
  </si>
  <si>
    <t>Lokalita:</t>
  </si>
  <si>
    <t>Termín výstavby</t>
  </si>
  <si>
    <t>léto - podzim 2017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</si>
  <si>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</si>
  <si>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</si>
  <si>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</si>
  <si>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</si>
  <si>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</si>
  <si>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</si>
  <si>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</si>
  <si>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</t>
  </si>
  <si>
    <t>M.j.</t>
  </si>
  <si>
    <t>Množství</t>
  </si>
  <si>
    <t>Jednot.</t>
  </si>
  <si>
    <t>Náklady vč. montáže (Kč)</t>
  </si>
  <si>
    <t xml:space="preserve"> </t>
  </si>
  <si>
    <t>Rozměry</t>
  </si>
  <si>
    <t>cena (Kč)</t>
  </si>
  <si>
    <t>Dodávka</t>
  </si>
  <si>
    <t>Montáž</t>
  </si>
  <si>
    <t>Celkem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</si>
  <si>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</si>
  <si>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</si>
  <si>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</si>
  <si>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</si>
  <si>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</si>
  <si>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</si>
  <si>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</si>
  <si>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</si>
  <si>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</si>
  <si>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31</t>
  </si>
  <si>
    <t>Zdi podpěrné a volné</t>
  </si>
  <si>
    <t>1</t>
  </si>
  <si>
    <t>311271177RT6</t>
  </si>
  <si>
    <t>Zdivo z tvárnic Ytong hladkých tl. 30 cm</t>
  </si>
  <si>
    <t>m2</t>
  </si>
  <si>
    <t>31_</t>
  </si>
  <si>
    <t>3_</t>
  </si>
  <si>
    <t>_</t>
  </si>
  <si>
    <t>34</t>
  </si>
  <si>
    <t>Stěny a příčky</t>
  </si>
  <si>
    <t>2</t>
  </si>
  <si>
    <t>342255026RT1</t>
  </si>
  <si>
    <t>Příčky z desek Ytong tl. 15 cm</t>
  </si>
  <si>
    <t>34_</t>
  </si>
  <si>
    <t>3</t>
  </si>
  <si>
    <t>Příčky z desek Ytong tl. 10 cm</t>
  </si>
  <si>
    <t>4</t>
  </si>
  <si>
    <t>342264051RT4</t>
  </si>
  <si>
    <t>Podhled sádrokartonový na zavěšenou ocel. konstr. s TI</t>
  </si>
  <si>
    <t>5</t>
  </si>
  <si>
    <t>Podhled sádrokartonový na zavěšenou ocel. konstr. bez TI</t>
  </si>
  <si>
    <t>41</t>
  </si>
  <si>
    <t>Stropy a stropní konstrukce (pro pozemní stavby)</t>
  </si>
  <si>
    <t>6</t>
  </si>
  <si>
    <t>417320040RAB</t>
  </si>
  <si>
    <t>Ztužující věnec ŽB beton C 25/30, 30 x 20 cm</t>
  </si>
  <si>
    <t>m</t>
  </si>
  <si>
    <t>41_</t>
  </si>
  <si>
    <t>4_</t>
  </si>
  <si>
    <t>7</t>
  </si>
  <si>
    <t>411321414R00</t>
  </si>
  <si>
    <t>Stropy deskové ze železobetonu C 25/30</t>
  </si>
  <si>
    <t>m3</t>
  </si>
  <si>
    <t>8</t>
  </si>
  <si>
    <t>413941123RU6</t>
  </si>
  <si>
    <t>Osazení válcovaných nosníků ve stropech č. 14 - 22</t>
  </si>
  <si>
    <t>t</t>
  </si>
  <si>
    <t>61</t>
  </si>
  <si>
    <t>Úprava povrchů vnitřní, vnější</t>
  </si>
  <si>
    <t>9</t>
  </si>
  <si>
    <t>601021144R00</t>
  </si>
  <si>
    <t>Omítka perlinka, lepidlo, štuk</t>
  </si>
  <si>
    <t>61_</t>
  </si>
  <si>
    <t>6_</t>
  </si>
  <si>
    <t>10</t>
  </si>
  <si>
    <t>612481113R00</t>
  </si>
  <si>
    <t>Venkovní fasáda</t>
  </si>
  <si>
    <t>11</t>
  </si>
  <si>
    <t>612100020RA0</t>
  </si>
  <si>
    <t>Začištění omítek kolem oken a dveří</t>
  </si>
  <si>
    <t>12</t>
  </si>
  <si>
    <t>612420110RAA</t>
  </si>
  <si>
    <t>Vyrovnání Omítka stěn vnitřní vápenocementová hrubá zatřená</t>
  </si>
  <si>
    <t>63</t>
  </si>
  <si>
    <t>Podlahy a podlahové konstrukce</t>
  </si>
  <si>
    <t>13</t>
  </si>
  <si>
    <t>632411235RT1</t>
  </si>
  <si>
    <t>Potěr Cemix, ruční zpracování, tl. 60 mm</t>
  </si>
  <si>
    <t>63_</t>
  </si>
  <si>
    <t>14</t>
  </si>
  <si>
    <t>632411240RT1</t>
  </si>
  <si>
    <t>Potěr vyrovnávací - samonivelační stěrka</t>
  </si>
  <si>
    <t>64</t>
  </si>
  <si>
    <t>Výplně otvorů</t>
  </si>
  <si>
    <t>15</t>
  </si>
  <si>
    <t>641951321R00</t>
  </si>
  <si>
    <t>D+M dveří CPL vnitřních včetně obložkové zárubně - předběžná cena.</t>
  </si>
  <si>
    <t>kpl</t>
  </si>
  <si>
    <t>64_</t>
  </si>
  <si>
    <t>16</t>
  </si>
  <si>
    <t>641951111R00</t>
  </si>
  <si>
    <t>D+M oken</t>
  </si>
  <si>
    <t>17</t>
  </si>
  <si>
    <t>D+M oken střešních</t>
  </si>
  <si>
    <t>711</t>
  </si>
  <si>
    <t>Izolace proti vodě</t>
  </si>
  <si>
    <t>18</t>
  </si>
  <si>
    <t>711212921R00</t>
  </si>
  <si>
    <t>Provedení hydroizolační těsnicí stěrky 2x</t>
  </si>
  <si>
    <t>711_</t>
  </si>
  <si>
    <t>71_</t>
  </si>
  <si>
    <t>713</t>
  </si>
  <si>
    <t>Izolace tepelné</t>
  </si>
  <si>
    <t>19</t>
  </si>
  <si>
    <t>713121111RV4</t>
  </si>
  <si>
    <t>Izolace tepelná kročejová podlah na sucho, jednovrstvá</t>
  </si>
  <si>
    <t>713_</t>
  </si>
  <si>
    <t>20</t>
  </si>
  <si>
    <t>Izolace tepelná mezi trámy, jednovrstvá</t>
  </si>
  <si>
    <t>721</t>
  </si>
  <si>
    <t>Vnitřní kanalizace</t>
  </si>
  <si>
    <t>21</t>
  </si>
  <si>
    <t>721100913R00</t>
  </si>
  <si>
    <t>Rozvody ZTI voda a kanalizace - předběžná cena</t>
  </si>
  <si>
    <t>721_</t>
  </si>
  <si>
    <t>72_</t>
  </si>
  <si>
    <t>725</t>
  </si>
  <si>
    <t>Zařizovací předměty</t>
  </si>
  <si>
    <t>22</t>
  </si>
  <si>
    <t>725012124RT1</t>
  </si>
  <si>
    <t>Montáž zařizovacích předmětů</t>
  </si>
  <si>
    <t>725_</t>
  </si>
  <si>
    <t>23</t>
  </si>
  <si>
    <t>725012123RU1</t>
  </si>
  <si>
    <t>Dodávka zařizovacích předmětů - předběžná cena</t>
  </si>
  <si>
    <t>728</t>
  </si>
  <si>
    <t>Vzduchotechnika</t>
  </si>
  <si>
    <t>24</t>
  </si>
  <si>
    <t>728111119R00</t>
  </si>
  <si>
    <t>Rozvody odvětrání digestoř, koupleny</t>
  </si>
  <si>
    <t>728_</t>
  </si>
  <si>
    <t>731</t>
  </si>
  <si>
    <t>Kotelny</t>
  </si>
  <si>
    <t>25</t>
  </si>
  <si>
    <t>731200030RA0</t>
  </si>
  <si>
    <t>D+M vytápění - předběžná cena</t>
  </si>
  <si>
    <t>kus</t>
  </si>
  <si>
    <t>731_</t>
  </si>
  <si>
    <t>73_</t>
  </si>
  <si>
    <t>762</t>
  </si>
  <si>
    <t>Konstrukce tesařské</t>
  </si>
  <si>
    <t>26</t>
  </si>
  <si>
    <t>762731150R00</t>
  </si>
  <si>
    <t>Revize zhlaví nosných dřevěných sloupů</t>
  </si>
  <si>
    <t>762_</t>
  </si>
  <si>
    <t>76_</t>
  </si>
  <si>
    <t>27</t>
  </si>
  <si>
    <t>OSB záklop 2x OSB 22</t>
  </si>
  <si>
    <t>28</t>
  </si>
  <si>
    <t>762330014RAC</t>
  </si>
  <si>
    <t>Konstrukce vázaná krovu z řeziva plochy 288 cm2</t>
  </si>
  <si>
    <t>29</t>
  </si>
  <si>
    <t>762340030RAA</t>
  </si>
  <si>
    <t>Laťování střech rozteč 22 cm včetně latí</t>
  </si>
  <si>
    <t>764</t>
  </si>
  <si>
    <t>Konstrukce klempířské</t>
  </si>
  <si>
    <t>30</t>
  </si>
  <si>
    <t>764252410RAB</t>
  </si>
  <si>
    <t>Žlab z TiZn plechu podokapní půlkruhový</t>
  </si>
  <si>
    <t>764_</t>
  </si>
  <si>
    <t>764211010RAA</t>
  </si>
  <si>
    <t>Krytina střech z TiZn plechu</t>
  </si>
  <si>
    <t>32</t>
  </si>
  <si>
    <t>764510410RAB</t>
  </si>
  <si>
    <t>Oplechování parapetů z TiZn plechu</t>
  </si>
  <si>
    <t>33</t>
  </si>
  <si>
    <t>764554410RAB</t>
  </si>
  <si>
    <t>Odpadní trouby z TiZn plechu kruhové</t>
  </si>
  <si>
    <t>765</t>
  </si>
  <si>
    <t>Krytina tvrdá</t>
  </si>
  <si>
    <t>765330062RAA</t>
  </si>
  <si>
    <t>Zastřešení betonovou krytinou Bramac Alpskou</t>
  </si>
  <si>
    <t>765_</t>
  </si>
  <si>
    <t>771</t>
  </si>
  <si>
    <t>Podlahy z dlaždic</t>
  </si>
  <si>
    <t>35</t>
  </si>
  <si>
    <t>771575113RT6</t>
  </si>
  <si>
    <t>Montáž podlah keram.,hladké, tmel, 30x30 cm</t>
  </si>
  <si>
    <t>771_</t>
  </si>
  <si>
    <t>77_</t>
  </si>
  <si>
    <t>775</t>
  </si>
  <si>
    <t>Podlahy vlysové a parketové</t>
  </si>
  <si>
    <t>36</t>
  </si>
  <si>
    <t>775540001R00</t>
  </si>
  <si>
    <t>Kladení podlah lamelových na podklad miralon</t>
  </si>
  <si>
    <t>775_</t>
  </si>
  <si>
    <t>781</t>
  </si>
  <si>
    <t>Obklady (keramické)</t>
  </si>
  <si>
    <t>37</t>
  </si>
  <si>
    <t>781210141R00</t>
  </si>
  <si>
    <t>Obkládání stěn obkl. pórovin. do tmele do 330x600</t>
  </si>
  <si>
    <t>781_</t>
  </si>
  <si>
    <t>78_</t>
  </si>
  <si>
    <t>784</t>
  </si>
  <si>
    <t>Malby</t>
  </si>
  <si>
    <t>38</t>
  </si>
  <si>
    <t>784450021RA0</t>
  </si>
  <si>
    <t>Malba ze směsi Remal, penetrace 1x, barevná 2x</t>
  </si>
  <si>
    <t>784_</t>
  </si>
  <si>
    <t>94</t>
  </si>
  <si>
    <t>Lešení a stavební výtahy</t>
  </si>
  <si>
    <t>39</t>
  </si>
  <si>
    <t>941940031RAD</t>
  </si>
  <si>
    <t>Lešení lehké fasádní, š. 1 m, výška do 10 m</t>
  </si>
  <si>
    <t>94_</t>
  </si>
  <si>
    <t>9_</t>
  </si>
  <si>
    <t>96</t>
  </si>
  <si>
    <t>Bourání konstrukcí</t>
  </si>
  <si>
    <t>40</t>
  </si>
  <si>
    <t>961065422R00</t>
  </si>
  <si>
    <t>Drobné bourací práce, přípomoce pro ZTI</t>
  </si>
  <si>
    <t>96_</t>
  </si>
  <si>
    <t>962031132R00</t>
  </si>
  <si>
    <t>Bourání krovu - včetně likvidace</t>
  </si>
  <si>
    <t>42</t>
  </si>
  <si>
    <t>962032241R00</t>
  </si>
  <si>
    <t>Bourání zdiva z cihel pálených na MC</t>
  </si>
  <si>
    <t>43</t>
  </si>
  <si>
    <t>965043441RT2</t>
  </si>
  <si>
    <t>Odstranění záklopů</t>
  </si>
  <si>
    <t>44</t>
  </si>
  <si>
    <t>965200021RAB</t>
  </si>
  <si>
    <t>Odstranění násypů pod podlahami a na střechách</t>
  </si>
  <si>
    <t>45</t>
  </si>
  <si>
    <t>968071137R00</t>
  </si>
  <si>
    <t>Likvidace odpadu</t>
  </si>
  <si>
    <t>H01</t>
  </si>
  <si>
    <t>Budovy občanské výstavby</t>
  </si>
  <si>
    <t>46</t>
  </si>
  <si>
    <t>998011002R00</t>
  </si>
  <si>
    <t>Přesun hmot pro budovy zděné výšky do 12 m</t>
  </si>
  <si>
    <t>H01_</t>
  </si>
  <si>
    <t>M21</t>
  </si>
  <si>
    <t>Elektromontáže</t>
  </si>
  <si>
    <t>47</t>
  </si>
  <si>
    <t>210010002RT1</t>
  </si>
  <si>
    <t>Elektromontážní práce - předběžná cena</t>
  </si>
  <si>
    <t>M21_</t>
  </si>
  <si>
    <t>Ostatní materiál</t>
  </si>
  <si>
    <t>48</t>
  </si>
  <si>
    <t>61194058</t>
  </si>
  <si>
    <t>Podlaha plovoucí - Materiál předběžná cena</t>
  </si>
  <si>
    <t>0</t>
  </si>
  <si>
    <t>Z99999_</t>
  </si>
  <si>
    <t>Z_</t>
  </si>
  <si>
    <t>49</t>
  </si>
  <si>
    <t>597813568</t>
  </si>
  <si>
    <t>Obklad - předběžná cena</t>
  </si>
  <si>
    <t>50</t>
  </si>
  <si>
    <t>597623124</t>
  </si>
  <si>
    <t>Dlaždice - přdběžná cena</t>
  </si>
  <si>
    <t>Doplňkové náklady</t>
  </si>
  <si>
    <t>VRN+koordinace</t>
  </si>
  <si>
    <t>-</t>
  </si>
  <si>
    <t>Náklady na umístění stavby</t>
  </si>
  <si>
    <t>Zařízení staveniště</t>
  </si>
  <si>
    <t>Mimostavební doprava</t>
  </si>
  <si>
    <t>Celkem bez DPH</t>
  </si>
  <si>
    <t>Celkem:</t>
  </si>
  <si>
    <t>Poznámka:</t>
  </si>
  <si>
    <t>Celkem včetně DPH</t>
  </si>
  <si>
    <r>
      <rPr>
        <b/>
        <sz val="10"/>
        <rFont val="Arial"/>
        <family val="2"/>
      </rPr>
      <t>Sestavil</t>
    </r>
    <r>
      <rPr>
        <sz val="10"/>
        <rFont val="Arial"/>
        <family val="2"/>
      </rPr>
      <t xml:space="preserve"> (jméno a příjmení)</t>
    </r>
    <r>
      <rPr>
        <b/>
        <sz val="10"/>
        <rFont val="Arial"/>
        <family val="2"/>
      </rPr>
      <t xml:space="preserve">: </t>
    </r>
  </si>
  <si>
    <t>Podpis klienta: ……………………………..</t>
  </si>
  <si>
    <t>Vypracoval : Ing. arch. Jiří Hospodka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</si>
</sst>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#,##0.00"/>
    <numFmt numFmtId="168" formatCode="#,##0.00&quot; Kč&quot;"/>
  </numFmts>
  <fonts count="16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"/>
      <name val="Arial"/>
      <family val="2"/>
    </font>
    <font>
      <sz val="11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12" fillId="0" borderId="0" xfId="0" applyFont="1" applyAlignment="1">
      <alignment vertical="center"/>
    </xf>
    <xf numFmtId="165" fontId="2" fillId="0" borderId="2" xfId="0" applyNumberFormat="1" applyFont="1" applyFill="1" applyBorder="1" applyAlignment="1" applyProtection="1">
      <alignment horizontal="center" vertical="center"/>
      <protection/>
    </xf>
    <xf numFmtId="164" fontId="12" fillId="0" borderId="3" xfId="0" applyNumberFormat="1" applyFont="1" applyFill="1" applyBorder="1" applyAlignment="1" applyProtection="1">
      <alignment horizontal="left" vertical="center" wrapText="1"/>
      <protection/>
    </xf>
    <xf numFmtId="164" fontId="12" fillId="9" borderId="0" xfId="0" applyNumberFormat="1" applyFont="1" applyFill="1" applyBorder="1" applyAlignment="1" applyProtection="1">
      <alignment horizontal="left" vertical="center" wrapText="1"/>
      <protection/>
    </xf>
    <xf numFmtId="164" fontId="10" fillId="0" borderId="3" xfId="0" applyNumberFormat="1" applyFont="1" applyFill="1" applyBorder="1" applyAlignment="1" applyProtection="1">
      <alignment horizontal="left" vertical="center" wrapText="1"/>
      <protection/>
    </xf>
    <xf numFmtId="165" fontId="12" fillId="0" borderId="4" xfId="0" applyNumberFormat="1" applyFont="1" applyFill="1" applyBorder="1" applyAlignment="1" applyProtection="1">
      <alignment horizontal="left" vertical="center"/>
      <protection/>
    </xf>
    <xf numFmtId="164" fontId="12" fillId="0" borderId="5" xfId="0" applyNumberFormat="1" applyFont="1" applyFill="1" applyBorder="1" applyAlignment="1" applyProtection="1">
      <alignment vertical="center"/>
      <protection/>
    </xf>
    <xf numFmtId="164" fontId="12" fillId="0" borderId="5" xfId="0" applyNumberFormat="1" applyFont="1" applyFill="1" applyBorder="1" applyAlignment="1" applyProtection="1">
      <alignment horizontal="left" vertical="center" wrapText="1"/>
      <protection/>
    </xf>
    <xf numFmtId="164" fontId="12" fillId="0" borderId="5" xfId="0" applyNumberFormat="1" applyFont="1" applyFill="1" applyBorder="1" applyAlignment="1" applyProtection="1">
      <alignment horizontal="left" vertical="center" wrapText="1"/>
      <protection/>
    </xf>
    <xf numFmtId="164" fontId="12" fillId="0" borderId="6" xfId="0" applyNumberFormat="1" applyFont="1" applyFill="1" applyBorder="1" applyAlignment="1" applyProtection="1">
      <alignment horizontal="left" vertical="center" wrapText="1"/>
      <protection/>
    </xf>
    <xf numFmtId="165" fontId="12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0" xfId="0" applyNumberFormat="1" applyFont="1" applyFill="1" applyBorder="1" applyAlignment="1" applyProtection="1">
      <alignment horizontal="left" vertical="center"/>
      <protection/>
    </xf>
    <xf numFmtId="164" fontId="12" fillId="0" borderId="0" xfId="0" applyNumberFormat="1" applyFont="1" applyFill="1" applyBorder="1" applyAlignment="1" applyProtection="1">
      <alignment horizontal="left" vertical="center" wrapText="1"/>
      <protection/>
    </xf>
    <xf numFmtId="164" fontId="12" fillId="0" borderId="6" xfId="0" applyNumberFormat="1" applyFont="1" applyFill="1" applyBorder="1" applyAlignment="1" applyProtection="1">
      <alignment horizontal="left" vertical="center" wrapText="1"/>
      <protection/>
    </xf>
    <xf numFmtId="164" fontId="12" fillId="0" borderId="7" xfId="0" applyNumberFormat="1" applyFont="1" applyFill="1" applyBorder="1" applyAlignment="1" applyProtection="1">
      <alignment horizontal="left" vertical="center" wrapText="1"/>
      <protection/>
    </xf>
    <xf numFmtId="165" fontId="12" fillId="0" borderId="8" xfId="0" applyNumberFormat="1" applyFont="1" applyFill="1" applyBorder="1" applyAlignment="1" applyProtection="1">
      <alignment horizontal="left" vertical="center"/>
      <protection/>
    </xf>
    <xf numFmtId="166" fontId="12" fillId="0" borderId="8" xfId="0" applyNumberFormat="1" applyFont="1" applyFill="1" applyBorder="1" applyAlignment="1" applyProtection="1">
      <alignment horizontal="left" vertical="center"/>
      <protection/>
    </xf>
    <xf numFmtId="164" fontId="12" fillId="0" borderId="8" xfId="0" applyNumberFormat="1" applyFont="1" applyFill="1" applyBorder="1" applyAlignment="1" applyProtection="1">
      <alignment horizontal="left" vertical="center" wrapText="1"/>
      <protection/>
    </xf>
    <xf numFmtId="164" fontId="12" fillId="0" borderId="9" xfId="0" applyNumberFormat="1" applyFont="1" applyFill="1" applyBorder="1" applyAlignment="1" applyProtection="1">
      <alignment horizontal="left" vertical="center" wrapText="1"/>
      <protection/>
    </xf>
    <xf numFmtId="165" fontId="10" fillId="0" borderId="10" xfId="0" applyNumberFormat="1" applyFont="1" applyFill="1" applyBorder="1" applyAlignment="1" applyProtection="1">
      <alignment horizontal="left" vertical="center"/>
      <protection/>
    </xf>
    <xf numFmtId="165" fontId="10" fillId="0" borderId="11" xfId="0" applyNumberFormat="1" applyFont="1" applyFill="1" applyBorder="1" applyAlignment="1" applyProtection="1">
      <alignment horizontal="left" vertical="center"/>
      <protection/>
    </xf>
    <xf numFmtId="165" fontId="10" fillId="0" borderId="12" xfId="0" applyNumberFormat="1" applyFont="1" applyFill="1" applyBorder="1" applyAlignment="1" applyProtection="1">
      <alignment horizontal="left" vertical="center"/>
      <protection/>
    </xf>
    <xf numFmtId="165" fontId="10" fillId="9" borderId="0" xfId="0" applyNumberFormat="1" applyFont="1" applyFill="1" applyBorder="1" applyAlignment="1" applyProtection="1">
      <alignment horizontal="left" vertical="center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5" fontId="10" fillId="0" borderId="13" xfId="0" applyNumberFormat="1" applyFont="1" applyFill="1" applyBorder="1" applyAlignment="1" applyProtection="1">
      <alignment horizontal="center" vertical="center"/>
      <protection/>
    </xf>
    <xf numFmtId="165" fontId="10" fillId="0" borderId="14" xfId="0" applyNumberFormat="1" applyFont="1" applyFill="1" applyBorder="1" applyAlignment="1" applyProtection="1">
      <alignment horizontal="center" vertical="center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5" fontId="12" fillId="0" borderId="16" xfId="0" applyNumberFormat="1" applyFont="1" applyFill="1" applyBorder="1" applyAlignment="1" applyProtection="1">
      <alignment horizontal="left" vertical="center"/>
      <protection/>
    </xf>
    <xf numFmtId="165" fontId="12" fillId="0" borderId="17" xfId="0" applyNumberFormat="1" applyFont="1" applyFill="1" applyBorder="1" applyAlignment="1" applyProtection="1">
      <alignment horizontal="left" vertical="center"/>
      <protection/>
    </xf>
    <xf numFmtId="165" fontId="12" fillId="0" borderId="7" xfId="0" applyNumberFormat="1" applyFont="1" applyFill="1" applyBorder="1" applyAlignment="1" applyProtection="1">
      <alignment horizontal="left" vertical="center"/>
      <protection/>
    </xf>
    <xf numFmtId="165" fontId="12" fillId="9" borderId="0" xfId="0" applyNumberFormat="1" applyFont="1" applyFill="1" applyBorder="1" applyAlignment="1" applyProtection="1">
      <alignment horizontal="left" vertical="center"/>
      <protection/>
    </xf>
    <xf numFmtId="165" fontId="10" fillId="0" borderId="16" xfId="0" applyNumberFormat="1" applyFont="1" applyFill="1" applyBorder="1" applyAlignment="1" applyProtection="1">
      <alignment horizontal="left" vertical="center"/>
      <protection/>
    </xf>
    <xf numFmtId="165" fontId="10" fillId="0" borderId="18" xfId="0" applyNumberFormat="1" applyFont="1" applyFill="1" applyBorder="1" applyAlignment="1" applyProtection="1">
      <alignment horizontal="center" vertical="center"/>
      <protection/>
    </xf>
    <xf numFmtId="165" fontId="10" fillId="0" borderId="19" xfId="0" applyNumberFormat="1" applyFont="1" applyFill="1" applyBorder="1" applyAlignment="1" applyProtection="1">
      <alignment horizontal="center" vertical="center"/>
      <protection/>
    </xf>
    <xf numFmtId="165" fontId="10" fillId="0" borderId="20" xfId="0" applyNumberFormat="1" applyFont="1" applyFill="1" applyBorder="1" applyAlignment="1" applyProtection="1">
      <alignment horizontal="center" vertical="center"/>
      <protection/>
    </xf>
    <xf numFmtId="165" fontId="10" fillId="0" borderId="21" xfId="0" applyNumberFormat="1" applyFont="1" applyFill="1" applyBorder="1" applyAlignment="1" applyProtection="1">
      <alignment horizontal="center" vertical="center"/>
      <protection/>
    </xf>
    <xf numFmtId="165" fontId="10" fillId="10" borderId="0" xfId="0" applyNumberFormat="1" applyFont="1" applyFill="1" applyBorder="1" applyAlignment="1" applyProtection="1">
      <alignment horizontal="right" vertical="center"/>
      <protection/>
    </xf>
    <xf numFmtId="165" fontId="12" fillId="10" borderId="22" xfId="0" applyNumberFormat="1" applyFont="1" applyFill="1" applyBorder="1" applyAlignment="1" applyProtection="1">
      <alignment horizontal="left" vertical="center"/>
      <protection/>
    </xf>
    <xf numFmtId="165" fontId="10" fillId="10" borderId="22" xfId="0" applyNumberFormat="1" applyFont="1" applyFill="1" applyBorder="1" applyAlignment="1" applyProtection="1">
      <alignment horizontal="left" vertical="center"/>
      <protection/>
    </xf>
    <xf numFmtId="167" fontId="10" fillId="10" borderId="22" xfId="0" applyNumberFormat="1" applyFont="1" applyFill="1" applyBorder="1" applyAlignment="1" applyProtection="1">
      <alignment horizontal="right" vertical="center"/>
      <protection/>
    </xf>
    <xf numFmtId="167" fontId="10" fillId="10" borderId="0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Fill="1" applyBorder="1" applyAlignment="1" applyProtection="1">
      <alignment horizontal="left" vertical="center"/>
      <protection/>
    </xf>
    <xf numFmtId="167" fontId="12" fillId="0" borderId="0" xfId="0" applyNumberFormat="1" applyFont="1" applyFill="1" applyBorder="1" applyAlignment="1" applyProtection="1">
      <alignment horizontal="right" vertical="center"/>
      <protection/>
    </xf>
    <xf numFmtId="167" fontId="12" fillId="11" borderId="0" xfId="0" applyNumberFormat="1" applyFont="1" applyFill="1" applyBorder="1" applyAlignment="1" applyProtection="1">
      <alignment horizontal="right" vertical="center"/>
      <protection/>
    </xf>
    <xf numFmtId="165" fontId="12" fillId="0" borderId="0" xfId="0" applyNumberFormat="1" applyFont="1" applyFill="1" applyBorder="1" applyAlignment="1" applyProtection="1">
      <alignment horizontal="right" vertical="center"/>
      <protection/>
    </xf>
    <xf numFmtId="165" fontId="12" fillId="10" borderId="0" xfId="0" applyNumberFormat="1" applyFont="1" applyFill="1" applyBorder="1" applyAlignment="1" applyProtection="1">
      <alignment horizontal="left" vertical="center"/>
      <protection/>
    </xf>
    <xf numFmtId="165" fontId="10" fillId="10" borderId="0" xfId="0" applyNumberFormat="1" applyFont="1" applyFill="1" applyBorder="1" applyAlignment="1" applyProtection="1">
      <alignment horizontal="left" vertical="center"/>
      <protection/>
    </xf>
    <xf numFmtId="165" fontId="12" fillId="0" borderId="2" xfId="0" applyNumberFormat="1" applyFont="1" applyFill="1" applyBorder="1" applyAlignment="1" applyProtection="1">
      <alignment horizontal="left" vertical="center"/>
      <protection/>
    </xf>
    <xf numFmtId="167" fontId="12" fillId="0" borderId="2" xfId="0" applyNumberFormat="1" applyFont="1" applyFill="1" applyBorder="1" applyAlignment="1" applyProtection="1">
      <alignment horizontal="right" vertical="center"/>
      <protection/>
    </xf>
    <xf numFmtId="167" fontId="12" fillId="11" borderId="2" xfId="0" applyNumberFormat="1" applyFont="1" applyFill="1" applyBorder="1" applyAlignment="1" applyProtection="1">
      <alignment horizontal="right" vertical="center"/>
      <protection/>
    </xf>
    <xf numFmtId="164" fontId="12" fillId="0" borderId="23" xfId="0" applyNumberFormat="1" applyFont="1" applyFill="1" applyBorder="1" applyAlignment="1" applyProtection="1">
      <alignment vertical="center"/>
      <protection/>
    </xf>
    <xf numFmtId="164" fontId="12" fillId="9" borderId="0" xfId="0" applyNumberFormat="1" applyFont="1" applyFill="1" applyBorder="1" applyAlignment="1" applyProtection="1">
      <alignment vertical="center"/>
      <protection/>
    </xf>
    <xf numFmtId="164" fontId="10" fillId="0" borderId="24" xfId="0" applyNumberFormat="1" applyFont="1" applyFill="1" applyBorder="1" applyAlignment="1" applyProtection="1">
      <alignment vertical="center"/>
      <protection/>
    </xf>
    <xf numFmtId="164" fontId="10" fillId="0" borderId="22" xfId="0" applyNumberFormat="1" applyFont="1" applyFill="1" applyBorder="1" applyAlignment="1" applyProtection="1">
      <alignment vertical="center"/>
      <protection/>
    </xf>
    <xf numFmtId="165" fontId="10" fillId="0" borderId="22" xfId="0" applyNumberFormat="1" applyFont="1" applyFill="1" applyBorder="1" applyAlignment="1" applyProtection="1">
      <alignment horizontal="left" vertical="center"/>
      <protection/>
    </xf>
    <xf numFmtId="168" fontId="10" fillId="0" borderId="25" xfId="0" applyNumberFormat="1" applyFont="1" applyFill="1" applyBorder="1" applyAlignment="1" applyProtection="1">
      <alignment horizontal="right" vertical="center"/>
      <protection/>
    </xf>
    <xf numFmtId="165" fontId="13" fillId="0" borderId="0" xfId="0" applyNumberFormat="1" applyFont="1" applyFill="1" applyBorder="1" applyAlignment="1" applyProtection="1">
      <alignment horizontal="left" vertical="center"/>
      <protection/>
    </xf>
    <xf numFmtId="164" fontId="12" fillId="9" borderId="0" xfId="0" applyFont="1" applyFill="1" applyBorder="1" applyAlignment="1">
      <alignment vertical="center"/>
    </xf>
    <xf numFmtId="164" fontId="10" fillId="0" borderId="26" xfId="0" applyFont="1" applyBorder="1" applyAlignment="1">
      <alignment vertical="center"/>
    </xf>
    <xf numFmtId="164" fontId="10" fillId="0" borderId="8" xfId="0" applyFont="1" applyBorder="1" applyAlignment="1">
      <alignment vertical="center"/>
    </xf>
    <xf numFmtId="168" fontId="10" fillId="0" borderId="27" xfId="0" applyNumberFormat="1" applyFont="1" applyBorder="1" applyAlignment="1">
      <alignment vertical="center"/>
    </xf>
    <xf numFmtId="164" fontId="14" fillId="12" borderId="28" xfId="0" applyFont="1" applyFill="1" applyBorder="1" applyAlignment="1">
      <alignment/>
    </xf>
    <xf numFmtId="164" fontId="14" fillId="12" borderId="29" xfId="0" applyFont="1" applyFill="1" applyBorder="1" applyAlignment="1">
      <alignment/>
    </xf>
    <xf numFmtId="164" fontId="0" fillId="0" borderId="0" xfId="0" applyBorder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64" fontId="15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Border="1" applyAlignment="1">
      <alignment vertical="top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DB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2B7ED2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7"/>
  <sheetViews>
    <sheetView tabSelected="1" workbookViewId="0" topLeftCell="A4">
      <selection activeCell="K83" sqref="K83"/>
    </sheetView>
  </sheetViews>
  <sheetFormatPr defaultColWidth="11.421875" defaultRowHeight="12.75"/>
  <cols>
    <col min="1" max="1" width="3.7109375" style="1" hidden="1" customWidth="1"/>
    <col min="2" max="2" width="6.8515625" style="1" hidden="1" customWidth="1"/>
    <col min="3" max="3" width="13.28125" style="1" hidden="1" customWidth="1"/>
    <col min="4" max="4" width="13.28125" style="1" customWidth="1"/>
    <col min="5" max="5" width="57.7109375" style="1" customWidth="1"/>
    <col min="6" max="6" width="4.28125" style="1" customWidth="1"/>
    <col min="7" max="7" width="12.8515625" style="1" customWidth="1"/>
    <col min="8" max="8" width="12.00390625" style="1" customWidth="1"/>
    <col min="9" max="10" width="14.28125" style="1" hidden="1" customWidth="1"/>
    <col min="11" max="11" width="33.00390625" style="1" customWidth="1"/>
    <col min="12" max="12" width="11.57421875" style="1" hidden="1" customWidth="1"/>
    <col min="13" max="46" width="12.140625" style="1" hidden="1" customWidth="1"/>
    <col min="47" max="16384" width="11.57421875" style="1" customWidth="1"/>
  </cols>
  <sheetData>
    <row r="1" spans="1:11" ht="7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ht="12.75" customHeight="1">
      <c r="A2" s="3" t="s">
        <v>1</v>
      </c>
      <c r="B2" s="3"/>
      <c r="C2" s="3"/>
      <c r="D2" s="4"/>
      <c r="E2" s="5" t="s">
        <v>2</v>
      </c>
      <c r="F2" s="6" t="s">
        <v>3</v>
      </c>
      <c r="G2" s="6"/>
      <c r="H2" s="6"/>
      <c r="I2" s="6"/>
      <c r="J2" s="6"/>
      <c r="K2" s="6"/>
      <c r="L2" s="7"/>
    </row>
    <row r="3" spans="1:12" ht="12.75">
      <c r="A3" s="3"/>
      <c r="B3" s="3"/>
      <c r="C3" s="3"/>
      <c r="D3" s="4"/>
      <c r="E3" s="5"/>
      <c r="F3" s="6"/>
      <c r="G3" s="6"/>
      <c r="H3" s="6"/>
      <c r="I3" s="6"/>
      <c r="J3" s="6"/>
      <c r="K3" s="6"/>
      <c r="L3" s="7"/>
    </row>
    <row r="4" spans="1:12" ht="12.75" customHeight="1">
      <c r="A4" s="8" t="s">
        <v>4</v>
      </c>
      <c r="B4" s="8"/>
      <c r="C4" s="8"/>
      <c r="D4" s="4"/>
      <c r="E4" s="9" t="s">
        <v>5</v>
      </c>
      <c r="F4" s="10" t="s">
        <v>6</v>
      </c>
      <c r="G4" s="10"/>
      <c r="H4" s="10"/>
      <c r="I4" s="10"/>
      <c r="J4" s="10"/>
      <c r="K4" s="10"/>
      <c r="L4" s="7"/>
    </row>
    <row r="5" spans="1:12" ht="12.75">
      <c r="A5" s="8"/>
      <c r="B5" s="8"/>
      <c r="C5" s="8"/>
      <c r="D5" s="4"/>
      <c r="E5" s="9"/>
      <c r="F5" s="10"/>
      <c r="G5" s="10"/>
      <c r="H5" s="10"/>
      <c r="I5" s="10"/>
      <c r="J5" s="10"/>
      <c r="K5" s="10"/>
      <c r="L5" s="7"/>
    </row>
    <row r="6" spans="1:12" ht="12.75" customHeight="1">
      <c r="A6" s="8" t="s">
        <v>7</v>
      </c>
      <c r="B6" s="8"/>
      <c r="C6" s="8"/>
      <c r="D6" s="4"/>
      <c r="E6" s="9" t="s">
        <v>8</v>
      </c>
      <c r="F6" s="11" t="s">
        <v>9</v>
      </c>
      <c r="G6" s="11"/>
      <c r="H6" s="12"/>
      <c r="I6" s="12"/>
      <c r="J6" s="13" t="s">
        <v>10</v>
      </c>
      <c r="K6" s="14"/>
      <c r="L6" s="7"/>
    </row>
    <row r="7" spans="1:12" ht="12.75">
      <c r="A7" s="8"/>
      <c r="B7" s="8"/>
      <c r="C7" s="8"/>
      <c r="D7" s="4"/>
      <c r="E7" s="9"/>
      <c r="F7" s="11"/>
      <c r="G7" s="11"/>
      <c r="H7" s="12"/>
      <c r="I7" s="12"/>
      <c r="J7" s="13"/>
      <c r="K7" s="14"/>
      <c r="L7" s="7"/>
    </row>
    <row r="8" spans="1:12" ht="12.75" customHeight="1">
      <c r="A8" s="15" t="s">
        <v>11</v>
      </c>
      <c r="B8" s="15"/>
      <c r="C8" s="15"/>
      <c r="D8" s="4"/>
      <c r="E8" s="15"/>
      <c r="F8" s="16" t="s">
        <v>12</v>
      </c>
      <c r="G8" s="16"/>
      <c r="H8" s="17"/>
      <c r="I8" s="17"/>
      <c r="J8" s="18" t="s">
        <v>13</v>
      </c>
      <c r="K8" s="19"/>
      <c r="L8" s="7"/>
    </row>
    <row r="9" spans="1:12" ht="14.25">
      <c r="A9" s="15"/>
      <c r="B9" s="15"/>
      <c r="C9" s="15"/>
      <c r="D9" s="4"/>
      <c r="E9" s="15"/>
      <c r="F9" s="16"/>
      <c r="G9" s="16"/>
      <c r="H9" s="17"/>
      <c r="I9" s="17"/>
      <c r="J9" s="18"/>
      <c r="K9" s="19"/>
      <c r="L9" s="7"/>
    </row>
    <row r="10" spans="1:12" ht="12.75">
      <c r="A10" s="20" t="s">
        <v>14</v>
      </c>
      <c r="B10" s="21" t="s">
        <v>15</v>
      </c>
      <c r="C10" s="22" t="s">
        <v>16</v>
      </c>
      <c r="D10" s="23"/>
      <c r="E10" s="20" t="s">
        <v>17</v>
      </c>
      <c r="F10" s="21" t="s">
        <v>18</v>
      </c>
      <c r="G10" s="24" t="s">
        <v>19</v>
      </c>
      <c r="H10" s="25" t="s">
        <v>20</v>
      </c>
      <c r="I10" s="26" t="s">
        <v>21</v>
      </c>
      <c r="J10" s="26"/>
      <c r="K10" s="26"/>
      <c r="L10" s="27"/>
    </row>
    <row r="11" spans="1:22" ht="13.5">
      <c r="A11" s="28" t="s">
        <v>22</v>
      </c>
      <c r="B11" s="29" t="s">
        <v>22</v>
      </c>
      <c r="C11" s="30" t="s">
        <v>22</v>
      </c>
      <c r="D11" s="31"/>
      <c r="E11" s="32" t="s">
        <v>23</v>
      </c>
      <c r="F11" s="29" t="s">
        <v>22</v>
      </c>
      <c r="G11" s="29" t="s">
        <v>22</v>
      </c>
      <c r="H11" s="33" t="s">
        <v>24</v>
      </c>
      <c r="I11" s="34" t="s">
        <v>25</v>
      </c>
      <c r="J11" s="35" t="s">
        <v>26</v>
      </c>
      <c r="K11" s="36" t="s">
        <v>27</v>
      </c>
      <c r="L11" s="27"/>
      <c r="N11" s="37" t="s">
        <v>28</v>
      </c>
      <c r="O11" s="37" t="s">
        <v>29</v>
      </c>
      <c r="P11" s="37" t="s">
        <v>30</v>
      </c>
      <c r="Q11" s="37" t="s">
        <v>31</v>
      </c>
      <c r="R11" s="37" t="s">
        <v>32</v>
      </c>
      <c r="S11" s="37" t="s">
        <v>33</v>
      </c>
      <c r="T11" s="37" t="s">
        <v>34</v>
      </c>
      <c r="U11" s="37" t="s">
        <v>35</v>
      </c>
      <c r="V11" s="37" t="s">
        <v>36</v>
      </c>
    </row>
    <row r="12" spans="1:35" ht="12.75">
      <c r="A12" s="38"/>
      <c r="B12" s="39"/>
      <c r="C12" s="39" t="s">
        <v>37</v>
      </c>
      <c r="D12" s="23"/>
      <c r="E12" s="39" t="s">
        <v>38</v>
      </c>
      <c r="F12" s="39"/>
      <c r="G12" s="39"/>
      <c r="H12" s="39"/>
      <c r="I12" s="40">
        <f>SUM(I13:I13)</f>
        <v>0</v>
      </c>
      <c r="J12" s="40">
        <f>SUM(J13:J13)</f>
        <v>0</v>
      </c>
      <c r="K12" s="40">
        <f>I12+J12</f>
        <v>0</v>
      </c>
      <c r="W12" s="37"/>
      <c r="AG12" s="41">
        <f>SUM(X13:X13)</f>
        <v>0</v>
      </c>
      <c r="AH12" s="41">
        <f>SUM(Y13:Y13)</f>
        <v>0</v>
      </c>
      <c r="AI12" s="41">
        <f>SUM(Z13:Z13)</f>
        <v>0</v>
      </c>
    </row>
    <row r="13" spans="1:46" ht="14.25">
      <c r="A13" s="42" t="s">
        <v>39</v>
      </c>
      <c r="B13" s="42"/>
      <c r="C13" s="42" t="s">
        <v>40</v>
      </c>
      <c r="D13" s="31"/>
      <c r="E13" s="42" t="s">
        <v>41</v>
      </c>
      <c r="F13" s="42" t="s">
        <v>42</v>
      </c>
      <c r="G13" s="43">
        <v>110.104</v>
      </c>
      <c r="H13" s="44"/>
      <c r="I13" s="43">
        <f>G13*AC13</f>
        <v>0</v>
      </c>
      <c r="J13" s="43">
        <f>K13-I13</f>
        <v>0</v>
      </c>
      <c r="K13" s="43">
        <f>G13*H13</f>
        <v>0</v>
      </c>
      <c r="N13" s="43">
        <f>IF(AE13="5",K13,0)</f>
        <v>0</v>
      </c>
      <c r="P13" s="43">
        <f>IF(AE13="1",I13,0)</f>
        <v>0</v>
      </c>
      <c r="Q13" s="43">
        <f>IF(AE13="1",J13,0)</f>
        <v>0</v>
      </c>
      <c r="R13" s="43">
        <f>IF(AE13="7",I13,0)</f>
        <v>0</v>
      </c>
      <c r="S13" s="43">
        <f>IF(AE13="7",J13,0)</f>
        <v>0</v>
      </c>
      <c r="T13" s="43">
        <f>IF(AE13="2",I13,0)</f>
        <v>0</v>
      </c>
      <c r="U13" s="43">
        <f>IF(AE13="2",J13,0)</f>
        <v>0</v>
      </c>
      <c r="V13" s="43">
        <f>IF(AE13="0",K13,0)</f>
        <v>0</v>
      </c>
      <c r="W13" s="37"/>
      <c r="X13" s="43">
        <f>IF(AB13=0,K13,0)</f>
        <v>0</v>
      </c>
      <c r="Y13" s="43">
        <f>IF(AB13=15,K13,0)</f>
        <v>0</v>
      </c>
      <c r="Z13" s="43">
        <f>IF(AB13=21,K13,0)</f>
        <v>0</v>
      </c>
      <c r="AB13" s="43">
        <v>15</v>
      </c>
      <c r="AC13" s="43">
        <f>H13*0.792647058823529</f>
        <v>0</v>
      </c>
      <c r="AD13" s="43">
        <f>H13*(1-0.792647058823529)</f>
        <v>0</v>
      </c>
      <c r="AE13" s="45" t="s">
        <v>39</v>
      </c>
      <c r="AK13" s="43">
        <f>G13*AC13</f>
        <v>0</v>
      </c>
      <c r="AL13" s="43">
        <f>G13*AD13</f>
        <v>0</v>
      </c>
      <c r="AM13" s="45" t="s">
        <v>43</v>
      </c>
      <c r="AN13" s="45" t="s">
        <v>44</v>
      </c>
      <c r="AO13" s="37" t="s">
        <v>45</v>
      </c>
      <c r="AQ13" s="43">
        <f>AK13+AL13</f>
        <v>0</v>
      </c>
      <c r="AR13" s="43">
        <f>H13/(100-AS13)*100</f>
        <v>0</v>
      </c>
      <c r="AS13" s="43">
        <v>0</v>
      </c>
      <c r="AT13" s="43" t="e">
        <f>#REF!</f>
        <v>#REF!</v>
      </c>
    </row>
    <row r="14" spans="1:35" ht="14.25">
      <c r="A14" s="46"/>
      <c r="B14" s="47"/>
      <c r="C14" s="47" t="s">
        <v>46</v>
      </c>
      <c r="D14" s="23"/>
      <c r="E14" s="47" t="s">
        <v>47</v>
      </c>
      <c r="F14" s="47"/>
      <c r="G14" s="47"/>
      <c r="H14" s="47"/>
      <c r="I14" s="41">
        <f>SUM(I15:I18)</f>
        <v>0</v>
      </c>
      <c r="J14" s="41">
        <f>SUM(J15:J18)</f>
        <v>0</v>
      </c>
      <c r="K14" s="41">
        <f>I14+J14</f>
        <v>0</v>
      </c>
      <c r="W14" s="37"/>
      <c r="AG14" s="41">
        <f>SUM(X15:X18)</f>
        <v>0</v>
      </c>
      <c r="AH14" s="41">
        <f>SUM(Y15:Y18)</f>
        <v>0</v>
      </c>
      <c r="AI14" s="41">
        <f>SUM(Z15:Z18)</f>
        <v>0</v>
      </c>
    </row>
    <row r="15" spans="1:46" ht="14.25">
      <c r="A15" s="42" t="s">
        <v>48</v>
      </c>
      <c r="B15" s="42"/>
      <c r="C15" s="42" t="s">
        <v>49</v>
      </c>
      <c r="D15" s="31"/>
      <c r="E15" s="42" t="s">
        <v>50</v>
      </c>
      <c r="F15" s="42" t="s">
        <v>42</v>
      </c>
      <c r="G15" s="43">
        <v>75.625</v>
      </c>
      <c r="H15" s="44"/>
      <c r="I15" s="43">
        <f aca="true" t="shared" si="0" ref="I15:I18">G15*AC15</f>
        <v>0</v>
      </c>
      <c r="J15" s="43">
        <f aca="true" t="shared" si="1" ref="J15:J18">K15-I15</f>
        <v>0</v>
      </c>
      <c r="K15" s="43">
        <f aca="true" t="shared" si="2" ref="K15:K18">G15*H15</f>
        <v>0</v>
      </c>
      <c r="N15" s="43">
        <f aca="true" t="shared" si="3" ref="N15:N18">IF(AE15="5",K15,0)</f>
        <v>0</v>
      </c>
      <c r="P15" s="43">
        <f aca="true" t="shared" si="4" ref="P15:P18">IF(AE15="1",I15,0)</f>
        <v>0</v>
      </c>
      <c r="Q15" s="43">
        <f aca="true" t="shared" si="5" ref="Q15:Q18">IF(AE15="1",J15,0)</f>
        <v>0</v>
      </c>
      <c r="R15" s="43">
        <f aca="true" t="shared" si="6" ref="R15:R18">IF(AE15="7",I15,0)</f>
        <v>0</v>
      </c>
      <c r="S15" s="43">
        <f aca="true" t="shared" si="7" ref="S15:S18">IF(AE15="7",J15,0)</f>
        <v>0</v>
      </c>
      <c r="T15" s="43">
        <f aca="true" t="shared" si="8" ref="T15:T18">IF(AE15="2",I15,0)</f>
        <v>0</v>
      </c>
      <c r="U15" s="43">
        <f aca="true" t="shared" si="9" ref="U15:U18">IF(AE15="2",J15,0)</f>
        <v>0</v>
      </c>
      <c r="V15" s="43">
        <f aca="true" t="shared" si="10" ref="V15:V18">IF(AE15="0",K15,0)</f>
        <v>0</v>
      </c>
      <c r="W15" s="37"/>
      <c r="X15" s="43">
        <f aca="true" t="shared" si="11" ref="X15:X18">IF(AB15=0,K15,0)</f>
        <v>0</v>
      </c>
      <c r="Y15" s="43">
        <f aca="true" t="shared" si="12" ref="Y15:Y18">IF(AB15=15,K15,0)</f>
        <v>0</v>
      </c>
      <c r="Z15" s="43">
        <f aca="true" t="shared" si="13" ref="Z15:Z18">IF(AB15=21,K15,0)</f>
        <v>0</v>
      </c>
      <c r="AB15" s="43">
        <v>15</v>
      </c>
      <c r="AC15" s="43">
        <f aca="true" t="shared" si="14" ref="AC15:AC16">H15*0.707604153360463</f>
        <v>0</v>
      </c>
      <c r="AD15" s="43">
        <f aca="true" t="shared" si="15" ref="AD15:AD16">H15*(1-0.707604153360463)</f>
        <v>0</v>
      </c>
      <c r="AE15" s="45" t="s">
        <v>39</v>
      </c>
      <c r="AK15" s="43">
        <f aca="true" t="shared" si="16" ref="AK15:AK18">G15*AC15</f>
        <v>0</v>
      </c>
      <c r="AL15" s="43">
        <f aca="true" t="shared" si="17" ref="AL15:AL18">G15*AD15</f>
        <v>0</v>
      </c>
      <c r="AM15" s="45" t="s">
        <v>51</v>
      </c>
      <c r="AN15" s="45" t="s">
        <v>44</v>
      </c>
      <c r="AO15" s="37" t="s">
        <v>45</v>
      </c>
      <c r="AQ15" s="43">
        <f aca="true" t="shared" si="18" ref="AQ15:AQ18">AK15+AL15</f>
        <v>0</v>
      </c>
      <c r="AR15" s="43">
        <f aca="true" t="shared" si="19" ref="AR15:AR18">H15/(100-AS15)*100</f>
        <v>0</v>
      </c>
      <c r="AS15" s="43">
        <v>0</v>
      </c>
      <c r="AT15" s="43" t="e">
        <f>#REF!</f>
        <v>#REF!</v>
      </c>
    </row>
    <row r="16" spans="1:46" ht="14.25">
      <c r="A16" s="42" t="s">
        <v>52</v>
      </c>
      <c r="B16" s="42"/>
      <c r="C16" s="42" t="s">
        <v>49</v>
      </c>
      <c r="D16" s="31"/>
      <c r="E16" s="42" t="s">
        <v>53</v>
      </c>
      <c r="F16" s="42" t="s">
        <v>42</v>
      </c>
      <c r="G16" s="43">
        <v>41.25</v>
      </c>
      <c r="H16" s="44"/>
      <c r="I16" s="43">
        <f t="shared" si="0"/>
        <v>0</v>
      </c>
      <c r="J16" s="43">
        <f t="shared" si="1"/>
        <v>0</v>
      </c>
      <c r="K16" s="43">
        <f t="shared" si="2"/>
        <v>0</v>
      </c>
      <c r="N16" s="43">
        <f t="shared" si="3"/>
        <v>0</v>
      </c>
      <c r="P16" s="43">
        <f t="shared" si="4"/>
        <v>0</v>
      </c>
      <c r="Q16" s="43">
        <f t="shared" si="5"/>
        <v>0</v>
      </c>
      <c r="R16" s="43">
        <f t="shared" si="6"/>
        <v>0</v>
      </c>
      <c r="S16" s="43">
        <f t="shared" si="7"/>
        <v>0</v>
      </c>
      <c r="T16" s="43">
        <f t="shared" si="8"/>
        <v>0</v>
      </c>
      <c r="U16" s="43">
        <f t="shared" si="9"/>
        <v>0</v>
      </c>
      <c r="V16" s="43">
        <f t="shared" si="10"/>
        <v>0</v>
      </c>
      <c r="W16" s="37"/>
      <c r="X16" s="43">
        <f t="shared" si="11"/>
        <v>0</v>
      </c>
      <c r="Y16" s="43">
        <f t="shared" si="12"/>
        <v>0</v>
      </c>
      <c r="Z16" s="43">
        <f t="shared" si="13"/>
        <v>0</v>
      </c>
      <c r="AB16" s="43">
        <v>15</v>
      </c>
      <c r="AC16" s="43">
        <f t="shared" si="14"/>
        <v>0</v>
      </c>
      <c r="AD16" s="43">
        <f t="shared" si="15"/>
        <v>0</v>
      </c>
      <c r="AE16" s="45" t="s">
        <v>39</v>
      </c>
      <c r="AK16" s="43">
        <f t="shared" si="16"/>
        <v>0</v>
      </c>
      <c r="AL16" s="43">
        <f t="shared" si="17"/>
        <v>0</v>
      </c>
      <c r="AM16" s="45" t="s">
        <v>51</v>
      </c>
      <c r="AN16" s="45" t="s">
        <v>44</v>
      </c>
      <c r="AO16" s="37" t="s">
        <v>45</v>
      </c>
      <c r="AQ16" s="43">
        <f t="shared" si="18"/>
        <v>0</v>
      </c>
      <c r="AR16" s="43">
        <f t="shared" si="19"/>
        <v>0</v>
      </c>
      <c r="AS16" s="43">
        <v>0</v>
      </c>
      <c r="AT16" s="43" t="e">
        <f>#REF!</f>
        <v>#REF!</v>
      </c>
    </row>
    <row r="17" spans="1:46" ht="14.25">
      <c r="A17" s="42" t="s">
        <v>54</v>
      </c>
      <c r="B17" s="42"/>
      <c r="C17" s="42" t="s">
        <v>55</v>
      </c>
      <c r="D17" s="31"/>
      <c r="E17" s="42" t="s">
        <v>56</v>
      </c>
      <c r="F17" s="42" t="s">
        <v>42</v>
      </c>
      <c r="G17" s="43">
        <v>145.14</v>
      </c>
      <c r="H17" s="44"/>
      <c r="I17" s="43">
        <f t="shared" si="0"/>
        <v>0</v>
      </c>
      <c r="J17" s="43">
        <f t="shared" si="1"/>
        <v>0</v>
      </c>
      <c r="K17" s="43">
        <f t="shared" si="2"/>
        <v>0</v>
      </c>
      <c r="N17" s="43">
        <f t="shared" si="3"/>
        <v>0</v>
      </c>
      <c r="P17" s="43">
        <f t="shared" si="4"/>
        <v>0</v>
      </c>
      <c r="Q17" s="43">
        <f t="shared" si="5"/>
        <v>0</v>
      </c>
      <c r="R17" s="43">
        <f t="shared" si="6"/>
        <v>0</v>
      </c>
      <c r="S17" s="43">
        <f t="shared" si="7"/>
        <v>0</v>
      </c>
      <c r="T17" s="43">
        <f t="shared" si="8"/>
        <v>0</v>
      </c>
      <c r="U17" s="43">
        <f t="shared" si="9"/>
        <v>0</v>
      </c>
      <c r="V17" s="43">
        <f t="shared" si="10"/>
        <v>0</v>
      </c>
      <c r="W17" s="37"/>
      <c r="X17" s="43">
        <f t="shared" si="11"/>
        <v>0</v>
      </c>
      <c r="Y17" s="43">
        <f t="shared" si="12"/>
        <v>0</v>
      </c>
      <c r="Z17" s="43">
        <f t="shared" si="13"/>
        <v>0</v>
      </c>
      <c r="AB17" s="43">
        <v>15</v>
      </c>
      <c r="AC17" s="43">
        <f aca="true" t="shared" si="20" ref="AC17:AC18">H17*0.438786516853933</f>
        <v>0</v>
      </c>
      <c r="AD17" s="43">
        <f aca="true" t="shared" si="21" ref="AD17:AD18">H17*(1-0.438786516853933)</f>
        <v>0</v>
      </c>
      <c r="AE17" s="45" t="s">
        <v>39</v>
      </c>
      <c r="AK17" s="43">
        <f t="shared" si="16"/>
        <v>0</v>
      </c>
      <c r="AL17" s="43">
        <f t="shared" si="17"/>
        <v>0</v>
      </c>
      <c r="AM17" s="45" t="s">
        <v>51</v>
      </c>
      <c r="AN17" s="45" t="s">
        <v>44</v>
      </c>
      <c r="AO17" s="37" t="s">
        <v>45</v>
      </c>
      <c r="AQ17" s="43">
        <f t="shared" si="18"/>
        <v>0</v>
      </c>
      <c r="AR17" s="43">
        <f t="shared" si="19"/>
        <v>0</v>
      </c>
      <c r="AS17" s="43">
        <v>0</v>
      </c>
      <c r="AT17" s="43" t="e">
        <f>#REF!</f>
        <v>#REF!</v>
      </c>
    </row>
    <row r="18" spans="1:46" ht="14.25">
      <c r="A18" s="42" t="s">
        <v>57</v>
      </c>
      <c r="B18" s="42"/>
      <c r="C18" s="42" t="s">
        <v>55</v>
      </c>
      <c r="D18" s="31"/>
      <c r="E18" s="42" t="s">
        <v>58</v>
      </c>
      <c r="F18" s="42" t="s">
        <v>42</v>
      </c>
      <c r="G18" s="43">
        <v>58.05</v>
      </c>
      <c r="H18" s="44"/>
      <c r="I18" s="43">
        <f t="shared" si="0"/>
        <v>0</v>
      </c>
      <c r="J18" s="43">
        <f t="shared" si="1"/>
        <v>0</v>
      </c>
      <c r="K18" s="43">
        <f t="shared" si="2"/>
        <v>0</v>
      </c>
      <c r="N18" s="43">
        <f t="shared" si="3"/>
        <v>0</v>
      </c>
      <c r="P18" s="43">
        <f t="shared" si="4"/>
        <v>0</v>
      </c>
      <c r="Q18" s="43">
        <f t="shared" si="5"/>
        <v>0</v>
      </c>
      <c r="R18" s="43">
        <f t="shared" si="6"/>
        <v>0</v>
      </c>
      <c r="S18" s="43">
        <f t="shared" si="7"/>
        <v>0</v>
      </c>
      <c r="T18" s="43">
        <f t="shared" si="8"/>
        <v>0</v>
      </c>
      <c r="U18" s="43">
        <f t="shared" si="9"/>
        <v>0</v>
      </c>
      <c r="V18" s="43">
        <f t="shared" si="10"/>
        <v>0</v>
      </c>
      <c r="W18" s="37"/>
      <c r="X18" s="43">
        <f t="shared" si="11"/>
        <v>0</v>
      </c>
      <c r="Y18" s="43">
        <f t="shared" si="12"/>
        <v>0</v>
      </c>
      <c r="Z18" s="43">
        <f t="shared" si="13"/>
        <v>0</v>
      </c>
      <c r="AB18" s="43">
        <v>15</v>
      </c>
      <c r="AC18" s="43">
        <f t="shared" si="20"/>
        <v>0</v>
      </c>
      <c r="AD18" s="43">
        <f t="shared" si="21"/>
        <v>0</v>
      </c>
      <c r="AE18" s="45" t="s">
        <v>39</v>
      </c>
      <c r="AK18" s="43">
        <f t="shared" si="16"/>
        <v>0</v>
      </c>
      <c r="AL18" s="43">
        <f t="shared" si="17"/>
        <v>0</v>
      </c>
      <c r="AM18" s="45" t="s">
        <v>51</v>
      </c>
      <c r="AN18" s="45" t="s">
        <v>44</v>
      </c>
      <c r="AO18" s="37" t="s">
        <v>45</v>
      </c>
      <c r="AQ18" s="43">
        <f t="shared" si="18"/>
        <v>0</v>
      </c>
      <c r="AR18" s="43">
        <f t="shared" si="19"/>
        <v>0</v>
      </c>
      <c r="AS18" s="43">
        <v>0</v>
      </c>
      <c r="AT18" s="43" t="e">
        <f>#REF!</f>
        <v>#REF!</v>
      </c>
    </row>
    <row r="19" spans="1:35" ht="14.25">
      <c r="A19" s="46"/>
      <c r="B19" s="47"/>
      <c r="C19" s="47" t="s">
        <v>59</v>
      </c>
      <c r="D19" s="23"/>
      <c r="E19" s="47" t="s">
        <v>60</v>
      </c>
      <c r="F19" s="47"/>
      <c r="G19" s="47"/>
      <c r="H19" s="47"/>
      <c r="I19" s="41">
        <f>SUM(I20:I22)</f>
        <v>0</v>
      </c>
      <c r="J19" s="41">
        <f>SUM(J20:J22)</f>
        <v>0</v>
      </c>
      <c r="K19" s="41">
        <f>I19+J19</f>
        <v>0</v>
      </c>
      <c r="W19" s="37"/>
      <c r="AG19" s="41">
        <f>SUM(X20:X22)</f>
        <v>0</v>
      </c>
      <c r="AH19" s="41">
        <f>SUM(Y20:Y22)</f>
        <v>0</v>
      </c>
      <c r="AI19" s="41">
        <f>SUM(Z20:Z22)</f>
        <v>0</v>
      </c>
    </row>
    <row r="20" spans="1:46" ht="14.25">
      <c r="A20" s="42" t="s">
        <v>61</v>
      </c>
      <c r="B20" s="42"/>
      <c r="C20" s="42" t="s">
        <v>62</v>
      </c>
      <c r="D20" s="31"/>
      <c r="E20" s="42" t="s">
        <v>63</v>
      </c>
      <c r="F20" s="42" t="s">
        <v>64</v>
      </c>
      <c r="G20" s="43">
        <v>98</v>
      </c>
      <c r="H20" s="44"/>
      <c r="I20" s="43">
        <f aca="true" t="shared" si="22" ref="I20:I22">G20*AC20</f>
        <v>0</v>
      </c>
      <c r="J20" s="43">
        <f aca="true" t="shared" si="23" ref="J20:J22">K20-I20</f>
        <v>0</v>
      </c>
      <c r="K20" s="43">
        <f aca="true" t="shared" si="24" ref="K20:K22">G20*H20</f>
        <v>0</v>
      </c>
      <c r="N20" s="43">
        <f aca="true" t="shared" si="25" ref="N20:N22">IF(AE20="5",K20,0)</f>
        <v>0</v>
      </c>
      <c r="P20" s="43">
        <f aca="true" t="shared" si="26" ref="P20:P22">IF(AE20="1",I20,0)</f>
        <v>0</v>
      </c>
      <c r="Q20" s="43">
        <f aca="true" t="shared" si="27" ref="Q20:Q22">IF(AE20="1",J20,0)</f>
        <v>0</v>
      </c>
      <c r="R20" s="43">
        <f aca="true" t="shared" si="28" ref="R20:R22">IF(AE20="7",I20,0)</f>
        <v>0</v>
      </c>
      <c r="S20" s="43">
        <f aca="true" t="shared" si="29" ref="S20:S22">IF(AE20="7",J20,0)</f>
        <v>0</v>
      </c>
      <c r="T20" s="43">
        <f aca="true" t="shared" si="30" ref="T20:T22">IF(AE20="2",I20,0)</f>
        <v>0</v>
      </c>
      <c r="U20" s="43">
        <f aca="true" t="shared" si="31" ref="U20:U22">IF(AE20="2",J20,0)</f>
        <v>0</v>
      </c>
      <c r="V20" s="43">
        <f aca="true" t="shared" si="32" ref="V20:V22">IF(AE20="0",K20,0)</f>
        <v>0</v>
      </c>
      <c r="W20" s="37"/>
      <c r="X20" s="43">
        <f aca="true" t="shared" si="33" ref="X20:X22">IF(AB20=0,K20,0)</f>
        <v>0</v>
      </c>
      <c r="Y20" s="43">
        <f aca="true" t="shared" si="34" ref="Y20:Y22">IF(AB20=15,K20,0)</f>
        <v>0</v>
      </c>
      <c r="Z20" s="43">
        <f aca="true" t="shared" si="35" ref="Z20:Z22">IF(AB20=21,K20,0)</f>
        <v>0</v>
      </c>
      <c r="AB20" s="43">
        <v>15</v>
      </c>
      <c r="AC20" s="43">
        <f>H20*0.472432620673358</f>
        <v>0</v>
      </c>
      <c r="AD20" s="43">
        <f>H20*(1-0.472432620673358)</f>
        <v>0</v>
      </c>
      <c r="AE20" s="45" t="s">
        <v>39</v>
      </c>
      <c r="AK20" s="43">
        <f aca="true" t="shared" si="36" ref="AK20:AK22">G20*AC20</f>
        <v>0</v>
      </c>
      <c r="AL20" s="43">
        <f aca="true" t="shared" si="37" ref="AL20:AL22">G20*AD20</f>
        <v>0</v>
      </c>
      <c r="AM20" s="45" t="s">
        <v>65</v>
      </c>
      <c r="AN20" s="45" t="s">
        <v>66</v>
      </c>
      <c r="AO20" s="37" t="s">
        <v>45</v>
      </c>
      <c r="AQ20" s="43">
        <f aca="true" t="shared" si="38" ref="AQ20:AQ22">AK20+AL20</f>
        <v>0</v>
      </c>
      <c r="AR20" s="43">
        <f aca="true" t="shared" si="39" ref="AR20:AR22">H20/(100-AS20)*100</f>
        <v>0</v>
      </c>
      <c r="AS20" s="43">
        <v>0</v>
      </c>
      <c r="AT20" s="43" t="e">
        <f>#REF!</f>
        <v>#REF!</v>
      </c>
    </row>
    <row r="21" spans="1:46" ht="14.25">
      <c r="A21" s="42" t="s">
        <v>67</v>
      </c>
      <c r="B21" s="42"/>
      <c r="C21" s="42" t="s">
        <v>68</v>
      </c>
      <c r="D21" s="31"/>
      <c r="E21" s="42" t="s">
        <v>69</v>
      </c>
      <c r="F21" s="42" t="s">
        <v>70</v>
      </c>
      <c r="G21" s="43">
        <v>1.5</v>
      </c>
      <c r="H21" s="44"/>
      <c r="I21" s="43">
        <f t="shared" si="22"/>
        <v>0</v>
      </c>
      <c r="J21" s="43">
        <f t="shared" si="23"/>
        <v>0</v>
      </c>
      <c r="K21" s="43">
        <f t="shared" si="24"/>
        <v>0</v>
      </c>
      <c r="N21" s="43">
        <f t="shared" si="25"/>
        <v>0</v>
      </c>
      <c r="P21" s="43">
        <f t="shared" si="26"/>
        <v>0</v>
      </c>
      <c r="Q21" s="43">
        <f t="shared" si="27"/>
        <v>0</v>
      </c>
      <c r="R21" s="43">
        <f t="shared" si="28"/>
        <v>0</v>
      </c>
      <c r="S21" s="43">
        <f t="shared" si="29"/>
        <v>0</v>
      </c>
      <c r="T21" s="43">
        <f t="shared" si="30"/>
        <v>0</v>
      </c>
      <c r="U21" s="43">
        <f t="shared" si="31"/>
        <v>0</v>
      </c>
      <c r="V21" s="43">
        <f t="shared" si="32"/>
        <v>0</v>
      </c>
      <c r="W21" s="37"/>
      <c r="X21" s="43">
        <f t="shared" si="33"/>
        <v>0</v>
      </c>
      <c r="Y21" s="43">
        <f t="shared" si="34"/>
        <v>0</v>
      </c>
      <c r="Z21" s="43">
        <f t="shared" si="35"/>
        <v>0</v>
      </c>
      <c r="AB21" s="43">
        <v>15</v>
      </c>
      <c r="AC21" s="43">
        <f>H21*0.855556377079483</f>
        <v>0</v>
      </c>
      <c r="AD21" s="43">
        <f>H21*(1-0.855556377079483)</f>
        <v>0</v>
      </c>
      <c r="AE21" s="45" t="s">
        <v>39</v>
      </c>
      <c r="AK21" s="43">
        <f t="shared" si="36"/>
        <v>0</v>
      </c>
      <c r="AL21" s="43">
        <f t="shared" si="37"/>
        <v>0</v>
      </c>
      <c r="AM21" s="45" t="s">
        <v>65</v>
      </c>
      <c r="AN21" s="45" t="s">
        <v>66</v>
      </c>
      <c r="AO21" s="37" t="s">
        <v>45</v>
      </c>
      <c r="AQ21" s="43">
        <f t="shared" si="38"/>
        <v>0</v>
      </c>
      <c r="AR21" s="43">
        <f t="shared" si="39"/>
        <v>0</v>
      </c>
      <c r="AS21" s="43">
        <v>0</v>
      </c>
      <c r="AT21" s="43" t="e">
        <f>#REF!</f>
        <v>#REF!</v>
      </c>
    </row>
    <row r="22" spans="1:46" ht="14.25">
      <c r="A22" s="42" t="s">
        <v>71</v>
      </c>
      <c r="B22" s="42"/>
      <c r="C22" s="42" t="s">
        <v>72</v>
      </c>
      <c r="D22" s="31"/>
      <c r="E22" s="42" t="s">
        <v>73</v>
      </c>
      <c r="F22" s="42" t="s">
        <v>74</v>
      </c>
      <c r="G22" s="43">
        <v>1.2</v>
      </c>
      <c r="H22" s="44"/>
      <c r="I22" s="43">
        <f t="shared" si="22"/>
        <v>0</v>
      </c>
      <c r="J22" s="43">
        <f t="shared" si="23"/>
        <v>0</v>
      </c>
      <c r="K22" s="43">
        <f t="shared" si="24"/>
        <v>0</v>
      </c>
      <c r="N22" s="43">
        <f t="shared" si="25"/>
        <v>0</v>
      </c>
      <c r="P22" s="43">
        <f t="shared" si="26"/>
        <v>0</v>
      </c>
      <c r="Q22" s="43">
        <f t="shared" si="27"/>
        <v>0</v>
      </c>
      <c r="R22" s="43">
        <f t="shared" si="28"/>
        <v>0</v>
      </c>
      <c r="S22" s="43">
        <f t="shared" si="29"/>
        <v>0</v>
      </c>
      <c r="T22" s="43">
        <f t="shared" si="30"/>
        <v>0</v>
      </c>
      <c r="U22" s="43">
        <f t="shared" si="31"/>
        <v>0</v>
      </c>
      <c r="V22" s="43">
        <f t="shared" si="32"/>
        <v>0</v>
      </c>
      <c r="W22" s="37"/>
      <c r="X22" s="43">
        <f t="shared" si="33"/>
        <v>0</v>
      </c>
      <c r="Y22" s="43">
        <f t="shared" si="34"/>
        <v>0</v>
      </c>
      <c r="Z22" s="43">
        <f t="shared" si="35"/>
        <v>0</v>
      </c>
      <c r="AB22" s="43">
        <v>15</v>
      </c>
      <c r="AC22" s="43">
        <f>H22*0.709768424855491</f>
        <v>0</v>
      </c>
      <c r="AD22" s="43">
        <f>H22*(1-0.709768424855491)</f>
        <v>0</v>
      </c>
      <c r="AE22" s="45" t="s">
        <v>39</v>
      </c>
      <c r="AK22" s="43">
        <f t="shared" si="36"/>
        <v>0</v>
      </c>
      <c r="AL22" s="43">
        <f t="shared" si="37"/>
        <v>0</v>
      </c>
      <c r="AM22" s="45" t="s">
        <v>65</v>
      </c>
      <c r="AN22" s="45" t="s">
        <v>66</v>
      </c>
      <c r="AO22" s="37" t="s">
        <v>45</v>
      </c>
      <c r="AQ22" s="43">
        <f t="shared" si="38"/>
        <v>0</v>
      </c>
      <c r="AR22" s="43">
        <f t="shared" si="39"/>
        <v>0</v>
      </c>
      <c r="AS22" s="43">
        <v>0</v>
      </c>
      <c r="AT22" s="43" t="e">
        <f>#REF!</f>
        <v>#REF!</v>
      </c>
    </row>
    <row r="23" spans="1:35" ht="14.25">
      <c r="A23" s="46"/>
      <c r="B23" s="47"/>
      <c r="C23" s="47" t="s">
        <v>75</v>
      </c>
      <c r="D23" s="23"/>
      <c r="E23" s="47" t="s">
        <v>76</v>
      </c>
      <c r="F23" s="47"/>
      <c r="G23" s="47"/>
      <c r="H23" s="47"/>
      <c r="I23" s="41">
        <f>SUM(I24:I27)</f>
        <v>0</v>
      </c>
      <c r="J23" s="41">
        <f>SUM(J24:J27)</f>
        <v>0</v>
      </c>
      <c r="K23" s="41">
        <f>I23+J23</f>
        <v>0</v>
      </c>
      <c r="W23" s="37"/>
      <c r="AG23" s="41">
        <f>SUM(X24:X27)</f>
        <v>0</v>
      </c>
      <c r="AH23" s="41">
        <f>SUM(Y24:Y27)</f>
        <v>0</v>
      </c>
      <c r="AI23" s="41">
        <f>SUM(Z24:Z27)</f>
        <v>0</v>
      </c>
    </row>
    <row r="24" spans="1:46" ht="14.25">
      <c r="A24" s="42" t="s">
        <v>77</v>
      </c>
      <c r="B24" s="42"/>
      <c r="C24" s="42" t="s">
        <v>78</v>
      </c>
      <c r="D24" s="31"/>
      <c r="E24" s="42" t="s">
        <v>79</v>
      </c>
      <c r="F24" s="42" t="s">
        <v>42</v>
      </c>
      <c r="G24" s="43">
        <v>336.6</v>
      </c>
      <c r="H24" s="44"/>
      <c r="I24" s="43">
        <f aca="true" t="shared" si="40" ref="I24:I27">G24*AC24</f>
        <v>0</v>
      </c>
      <c r="J24" s="43">
        <f aca="true" t="shared" si="41" ref="J24:J27">K24-I24</f>
        <v>0</v>
      </c>
      <c r="K24" s="43">
        <f aca="true" t="shared" si="42" ref="K24:K27">G24*H24</f>
        <v>0</v>
      </c>
      <c r="N24" s="43">
        <f aca="true" t="shared" si="43" ref="N24:N27">IF(AE24="5",K24,0)</f>
        <v>0</v>
      </c>
      <c r="P24" s="43">
        <f aca="true" t="shared" si="44" ref="P24:P27">IF(AE24="1",I24,0)</f>
        <v>0</v>
      </c>
      <c r="Q24" s="43">
        <f aca="true" t="shared" si="45" ref="Q24:Q27">IF(AE24="1",J24,0)</f>
        <v>0</v>
      </c>
      <c r="R24" s="43">
        <f aca="true" t="shared" si="46" ref="R24:R27">IF(AE24="7",I24,0)</f>
        <v>0</v>
      </c>
      <c r="S24" s="43">
        <f aca="true" t="shared" si="47" ref="S24:S27">IF(AE24="7",J24,0)</f>
        <v>0</v>
      </c>
      <c r="T24" s="43">
        <f aca="true" t="shared" si="48" ref="T24:T27">IF(AE24="2",I24,0)</f>
        <v>0</v>
      </c>
      <c r="U24" s="43">
        <f aca="true" t="shared" si="49" ref="U24:U27">IF(AE24="2",J24,0)</f>
        <v>0</v>
      </c>
      <c r="V24" s="43">
        <f aca="true" t="shared" si="50" ref="V24:V27">IF(AE24="0",K24,0)</f>
        <v>0</v>
      </c>
      <c r="W24" s="37"/>
      <c r="X24" s="43">
        <f aca="true" t="shared" si="51" ref="X24:X27">IF(AB24=0,K24,0)</f>
        <v>0</v>
      </c>
      <c r="Y24" s="43">
        <f aca="true" t="shared" si="52" ref="Y24:Y27">IF(AB24=15,K24,0)</f>
        <v>0</v>
      </c>
      <c r="Z24" s="43">
        <f aca="true" t="shared" si="53" ref="Z24:Z27">IF(AB24=21,K24,0)</f>
        <v>0</v>
      </c>
      <c r="AB24" s="43">
        <v>15</v>
      </c>
      <c r="AC24" s="43">
        <f>H24*0.161538461538462</f>
        <v>0</v>
      </c>
      <c r="AD24" s="43">
        <f>H24*(1-0.161538461538462)</f>
        <v>0</v>
      </c>
      <c r="AE24" s="45" t="s">
        <v>39</v>
      </c>
      <c r="AK24" s="43">
        <f aca="true" t="shared" si="54" ref="AK24:AK27">G24*AC24</f>
        <v>0</v>
      </c>
      <c r="AL24" s="43">
        <f aca="true" t="shared" si="55" ref="AL24:AL27">G24*AD24</f>
        <v>0</v>
      </c>
      <c r="AM24" s="45" t="s">
        <v>80</v>
      </c>
      <c r="AN24" s="45" t="s">
        <v>81</v>
      </c>
      <c r="AO24" s="37" t="s">
        <v>45</v>
      </c>
      <c r="AQ24" s="43">
        <f aca="true" t="shared" si="56" ref="AQ24:AQ27">AK24+AL24</f>
        <v>0</v>
      </c>
      <c r="AR24" s="43">
        <f aca="true" t="shared" si="57" ref="AR24:AR27">H24/(100-AS24)*100</f>
        <v>0</v>
      </c>
      <c r="AS24" s="43">
        <v>0</v>
      </c>
      <c r="AT24" s="43" t="e">
        <f>#REF!</f>
        <v>#REF!</v>
      </c>
    </row>
    <row r="25" spans="1:46" ht="14.25">
      <c r="A25" s="42" t="s">
        <v>82</v>
      </c>
      <c r="B25" s="42"/>
      <c r="C25" s="42" t="s">
        <v>83</v>
      </c>
      <c r="D25" s="31"/>
      <c r="E25" s="42" t="s">
        <v>84</v>
      </c>
      <c r="F25" s="42" t="s">
        <v>42</v>
      </c>
      <c r="G25" s="43">
        <v>138</v>
      </c>
      <c r="H25" s="44"/>
      <c r="I25" s="43">
        <f t="shared" si="40"/>
        <v>0</v>
      </c>
      <c r="J25" s="43">
        <f t="shared" si="41"/>
        <v>0</v>
      </c>
      <c r="K25" s="43">
        <f t="shared" si="42"/>
        <v>0</v>
      </c>
      <c r="N25" s="43">
        <f t="shared" si="43"/>
        <v>0</v>
      </c>
      <c r="P25" s="43">
        <f t="shared" si="44"/>
        <v>0</v>
      </c>
      <c r="Q25" s="43">
        <f t="shared" si="45"/>
        <v>0</v>
      </c>
      <c r="R25" s="43">
        <f t="shared" si="46"/>
        <v>0</v>
      </c>
      <c r="S25" s="43">
        <f t="shared" si="47"/>
        <v>0</v>
      </c>
      <c r="T25" s="43">
        <f t="shared" si="48"/>
        <v>0</v>
      </c>
      <c r="U25" s="43">
        <f t="shared" si="49"/>
        <v>0</v>
      </c>
      <c r="V25" s="43">
        <f t="shared" si="50"/>
        <v>0</v>
      </c>
      <c r="W25" s="37"/>
      <c r="X25" s="43">
        <f t="shared" si="51"/>
        <v>0</v>
      </c>
      <c r="Y25" s="43">
        <f t="shared" si="52"/>
        <v>0</v>
      </c>
      <c r="Z25" s="43">
        <f t="shared" si="53"/>
        <v>0</v>
      </c>
      <c r="AB25" s="43">
        <v>15</v>
      </c>
      <c r="AC25" s="43">
        <f>H25*0.259910193084868</f>
        <v>0</v>
      </c>
      <c r="AD25" s="43">
        <f>H25*(1-0.259910193084868)</f>
        <v>0</v>
      </c>
      <c r="AE25" s="45" t="s">
        <v>39</v>
      </c>
      <c r="AK25" s="43">
        <f t="shared" si="54"/>
        <v>0</v>
      </c>
      <c r="AL25" s="43">
        <f t="shared" si="55"/>
        <v>0</v>
      </c>
      <c r="AM25" s="45" t="s">
        <v>80</v>
      </c>
      <c r="AN25" s="45" t="s">
        <v>81</v>
      </c>
      <c r="AO25" s="37" t="s">
        <v>45</v>
      </c>
      <c r="AQ25" s="43">
        <f t="shared" si="56"/>
        <v>0</v>
      </c>
      <c r="AR25" s="43">
        <f t="shared" si="57"/>
        <v>0</v>
      </c>
      <c r="AS25" s="43">
        <v>0</v>
      </c>
      <c r="AT25" s="43" t="e">
        <f>#REF!</f>
        <v>#REF!</v>
      </c>
    </row>
    <row r="26" spans="1:46" ht="14.25">
      <c r="A26" s="42" t="s">
        <v>85</v>
      </c>
      <c r="B26" s="42"/>
      <c r="C26" s="42" t="s">
        <v>86</v>
      </c>
      <c r="D26" s="31"/>
      <c r="E26" s="42" t="s">
        <v>87</v>
      </c>
      <c r="F26" s="42" t="s">
        <v>64</v>
      </c>
      <c r="G26" s="43">
        <v>60</v>
      </c>
      <c r="H26" s="44"/>
      <c r="I26" s="43">
        <f t="shared" si="40"/>
        <v>0</v>
      </c>
      <c r="J26" s="43">
        <f t="shared" si="41"/>
        <v>0</v>
      </c>
      <c r="K26" s="43">
        <f t="shared" si="42"/>
        <v>0</v>
      </c>
      <c r="N26" s="43">
        <f t="shared" si="43"/>
        <v>0</v>
      </c>
      <c r="P26" s="43">
        <f t="shared" si="44"/>
        <v>0</v>
      </c>
      <c r="Q26" s="43">
        <f t="shared" si="45"/>
        <v>0</v>
      </c>
      <c r="R26" s="43">
        <f t="shared" si="46"/>
        <v>0</v>
      </c>
      <c r="S26" s="43">
        <f t="shared" si="47"/>
        <v>0</v>
      </c>
      <c r="T26" s="43">
        <f t="shared" si="48"/>
        <v>0</v>
      </c>
      <c r="U26" s="43">
        <f t="shared" si="49"/>
        <v>0</v>
      </c>
      <c r="V26" s="43">
        <f t="shared" si="50"/>
        <v>0</v>
      </c>
      <c r="W26" s="37"/>
      <c r="X26" s="43">
        <f t="shared" si="51"/>
        <v>0</v>
      </c>
      <c r="Y26" s="43">
        <f t="shared" si="52"/>
        <v>0</v>
      </c>
      <c r="Z26" s="43">
        <f t="shared" si="53"/>
        <v>0</v>
      </c>
      <c r="AB26" s="43">
        <v>15</v>
      </c>
      <c r="AC26" s="43">
        <f>H26*0.065715833182885</f>
        <v>0</v>
      </c>
      <c r="AD26" s="43">
        <f>H26*(1-0.065715833182885)</f>
        <v>0</v>
      </c>
      <c r="AE26" s="45" t="s">
        <v>39</v>
      </c>
      <c r="AK26" s="43">
        <f t="shared" si="54"/>
        <v>0</v>
      </c>
      <c r="AL26" s="43">
        <f t="shared" si="55"/>
        <v>0</v>
      </c>
      <c r="AM26" s="45" t="s">
        <v>80</v>
      </c>
      <c r="AN26" s="45" t="s">
        <v>81</v>
      </c>
      <c r="AO26" s="37" t="s">
        <v>45</v>
      </c>
      <c r="AQ26" s="43">
        <f t="shared" si="56"/>
        <v>0</v>
      </c>
      <c r="AR26" s="43">
        <f t="shared" si="57"/>
        <v>0</v>
      </c>
      <c r="AS26" s="43">
        <v>0</v>
      </c>
      <c r="AT26" s="43" t="e">
        <f>#REF!</f>
        <v>#REF!</v>
      </c>
    </row>
    <row r="27" spans="1:46" ht="14.25">
      <c r="A27" s="42" t="s">
        <v>88</v>
      </c>
      <c r="B27" s="42"/>
      <c r="C27" s="42" t="s">
        <v>89</v>
      </c>
      <c r="D27" s="31"/>
      <c r="E27" s="42" t="s">
        <v>90</v>
      </c>
      <c r="F27" s="42" t="s">
        <v>42</v>
      </c>
      <c r="G27" s="43">
        <v>45</v>
      </c>
      <c r="H27" s="44"/>
      <c r="I27" s="43">
        <f t="shared" si="40"/>
        <v>0</v>
      </c>
      <c r="J27" s="43">
        <f t="shared" si="41"/>
        <v>0</v>
      </c>
      <c r="K27" s="43">
        <f t="shared" si="42"/>
        <v>0</v>
      </c>
      <c r="N27" s="43">
        <f t="shared" si="43"/>
        <v>0</v>
      </c>
      <c r="P27" s="43">
        <f t="shared" si="44"/>
        <v>0</v>
      </c>
      <c r="Q27" s="43">
        <f t="shared" si="45"/>
        <v>0</v>
      </c>
      <c r="R27" s="43">
        <f t="shared" si="46"/>
        <v>0</v>
      </c>
      <c r="S27" s="43">
        <f t="shared" si="47"/>
        <v>0</v>
      </c>
      <c r="T27" s="43">
        <f t="shared" si="48"/>
        <v>0</v>
      </c>
      <c r="U27" s="43">
        <f t="shared" si="49"/>
        <v>0</v>
      </c>
      <c r="V27" s="43">
        <f t="shared" si="50"/>
        <v>0</v>
      </c>
      <c r="W27" s="37"/>
      <c r="X27" s="43">
        <f t="shared" si="51"/>
        <v>0</v>
      </c>
      <c r="Y27" s="43">
        <f t="shared" si="52"/>
        <v>0</v>
      </c>
      <c r="Z27" s="43">
        <f t="shared" si="53"/>
        <v>0</v>
      </c>
      <c r="AB27" s="43">
        <v>15</v>
      </c>
      <c r="AC27" s="43">
        <f>H27*0.244797354216717</f>
        <v>0</v>
      </c>
      <c r="AD27" s="43">
        <f>H27*(1-0.244797354216717)</f>
        <v>0</v>
      </c>
      <c r="AE27" s="45" t="s">
        <v>39</v>
      </c>
      <c r="AK27" s="43">
        <f t="shared" si="54"/>
        <v>0</v>
      </c>
      <c r="AL27" s="43">
        <f t="shared" si="55"/>
        <v>0</v>
      </c>
      <c r="AM27" s="45" t="s">
        <v>80</v>
      </c>
      <c r="AN27" s="45" t="s">
        <v>81</v>
      </c>
      <c r="AO27" s="37" t="s">
        <v>45</v>
      </c>
      <c r="AQ27" s="43">
        <f t="shared" si="56"/>
        <v>0</v>
      </c>
      <c r="AR27" s="43">
        <f t="shared" si="57"/>
        <v>0</v>
      </c>
      <c r="AS27" s="43">
        <v>0</v>
      </c>
      <c r="AT27" s="43" t="e">
        <f>#REF!</f>
        <v>#REF!</v>
      </c>
    </row>
    <row r="28" spans="1:35" ht="14.25">
      <c r="A28" s="46"/>
      <c r="B28" s="47"/>
      <c r="C28" s="47" t="s">
        <v>91</v>
      </c>
      <c r="D28" s="23"/>
      <c r="E28" s="47" t="s">
        <v>92</v>
      </c>
      <c r="F28" s="47"/>
      <c r="G28" s="47"/>
      <c r="H28" s="47"/>
      <c r="I28" s="41">
        <f>SUM(I29:I30)</f>
        <v>0</v>
      </c>
      <c r="J28" s="41">
        <f>SUM(J29:J30)</f>
        <v>0</v>
      </c>
      <c r="K28" s="41">
        <f>I28+J28</f>
        <v>0</v>
      </c>
      <c r="W28" s="37"/>
      <c r="AG28" s="41">
        <f>SUM(X29:X30)</f>
        <v>0</v>
      </c>
      <c r="AH28" s="41">
        <f>SUM(Y29:Y30)</f>
        <v>0</v>
      </c>
      <c r="AI28" s="41">
        <f>SUM(Z29:Z30)</f>
        <v>0</v>
      </c>
    </row>
    <row r="29" spans="1:46" ht="14.25">
      <c r="A29" s="42" t="s">
        <v>93</v>
      </c>
      <c r="B29" s="42"/>
      <c r="C29" s="42" t="s">
        <v>94</v>
      </c>
      <c r="D29" s="31"/>
      <c r="E29" s="42" t="s">
        <v>95</v>
      </c>
      <c r="F29" s="42" t="s">
        <v>42</v>
      </c>
      <c r="G29" s="43">
        <v>15</v>
      </c>
      <c r="H29" s="44"/>
      <c r="I29" s="43">
        <f aca="true" t="shared" si="58" ref="I29:I30">G29*AC29</f>
        <v>0</v>
      </c>
      <c r="J29" s="43">
        <f aca="true" t="shared" si="59" ref="J29:J30">K29-I29</f>
        <v>0</v>
      </c>
      <c r="K29" s="43">
        <f aca="true" t="shared" si="60" ref="K29:K30">G29*H29</f>
        <v>0</v>
      </c>
      <c r="N29" s="43">
        <f aca="true" t="shared" si="61" ref="N29:N30">IF(AE29="5",K29,0)</f>
        <v>0</v>
      </c>
      <c r="P29" s="43">
        <f aca="true" t="shared" si="62" ref="P29:P30">IF(AE29="1",I29,0)</f>
        <v>0</v>
      </c>
      <c r="Q29" s="43">
        <f aca="true" t="shared" si="63" ref="Q29:Q30">IF(AE29="1",J29,0)</f>
        <v>0</v>
      </c>
      <c r="R29" s="43">
        <f aca="true" t="shared" si="64" ref="R29:R30">IF(AE29="7",I29,0)</f>
        <v>0</v>
      </c>
      <c r="S29" s="43">
        <f aca="true" t="shared" si="65" ref="S29:S30">IF(AE29="7",J29,0)</f>
        <v>0</v>
      </c>
      <c r="T29" s="43">
        <f aca="true" t="shared" si="66" ref="T29:T30">IF(AE29="2",I29,0)</f>
        <v>0</v>
      </c>
      <c r="U29" s="43">
        <f aca="true" t="shared" si="67" ref="U29:U30">IF(AE29="2",J29,0)</f>
        <v>0</v>
      </c>
      <c r="V29" s="43">
        <f aca="true" t="shared" si="68" ref="V29:V30">IF(AE29="0",K29,0)</f>
        <v>0</v>
      </c>
      <c r="W29" s="37"/>
      <c r="X29" s="43">
        <f aca="true" t="shared" si="69" ref="X29:X30">IF(AB29=0,K29,0)</f>
        <v>0</v>
      </c>
      <c r="Y29" s="43">
        <f aca="true" t="shared" si="70" ref="Y29:Y30">IF(AB29=15,K29,0)</f>
        <v>0</v>
      </c>
      <c r="Z29" s="43">
        <f aca="true" t="shared" si="71" ref="Z29:Z30">IF(AB29=21,K29,0)</f>
        <v>0</v>
      </c>
      <c r="AB29" s="43">
        <v>15</v>
      </c>
      <c r="AC29" s="43">
        <f>H29*0.769247311827957</f>
        <v>0</v>
      </c>
      <c r="AD29" s="43">
        <f>H29*(1-0.769247311827957)</f>
        <v>0</v>
      </c>
      <c r="AE29" s="45" t="s">
        <v>39</v>
      </c>
      <c r="AK29" s="43">
        <f aca="true" t="shared" si="72" ref="AK29:AK30">G29*AC29</f>
        <v>0</v>
      </c>
      <c r="AL29" s="43">
        <f aca="true" t="shared" si="73" ref="AL29:AL30">G29*AD29</f>
        <v>0</v>
      </c>
      <c r="AM29" s="45" t="s">
        <v>96</v>
      </c>
      <c r="AN29" s="45" t="s">
        <v>81</v>
      </c>
      <c r="AO29" s="37" t="s">
        <v>45</v>
      </c>
      <c r="AQ29" s="43">
        <f aca="true" t="shared" si="74" ref="AQ29:AQ30">AK29+AL29</f>
        <v>0</v>
      </c>
      <c r="AR29" s="43">
        <f aca="true" t="shared" si="75" ref="AR29:AR30">H29/(100-AS29)*100</f>
        <v>0</v>
      </c>
      <c r="AS29" s="43">
        <v>0</v>
      </c>
      <c r="AT29" s="43" t="e">
        <f>#REF!</f>
        <v>#REF!</v>
      </c>
    </row>
    <row r="30" spans="1:46" ht="14.25">
      <c r="A30" s="42" t="s">
        <v>97</v>
      </c>
      <c r="B30" s="42"/>
      <c r="C30" s="42" t="s">
        <v>98</v>
      </c>
      <c r="D30" s="31"/>
      <c r="E30" s="42" t="s">
        <v>99</v>
      </c>
      <c r="F30" s="42" t="s">
        <v>42</v>
      </c>
      <c r="G30" s="43">
        <v>15</v>
      </c>
      <c r="H30" s="44"/>
      <c r="I30" s="43">
        <f t="shared" si="58"/>
        <v>0</v>
      </c>
      <c r="J30" s="43">
        <f t="shared" si="59"/>
        <v>0</v>
      </c>
      <c r="K30" s="43">
        <f t="shared" si="60"/>
        <v>0</v>
      </c>
      <c r="N30" s="43">
        <f t="shared" si="61"/>
        <v>0</v>
      </c>
      <c r="P30" s="43">
        <f t="shared" si="62"/>
        <v>0</v>
      </c>
      <c r="Q30" s="43">
        <f t="shared" si="63"/>
        <v>0</v>
      </c>
      <c r="R30" s="43">
        <f t="shared" si="64"/>
        <v>0</v>
      </c>
      <c r="S30" s="43">
        <f t="shared" si="65"/>
        <v>0</v>
      </c>
      <c r="T30" s="43">
        <f t="shared" si="66"/>
        <v>0</v>
      </c>
      <c r="U30" s="43">
        <f t="shared" si="67"/>
        <v>0</v>
      </c>
      <c r="V30" s="43">
        <f t="shared" si="68"/>
        <v>0</v>
      </c>
      <c r="W30" s="37"/>
      <c r="X30" s="43">
        <f t="shared" si="69"/>
        <v>0</v>
      </c>
      <c r="Y30" s="43">
        <f t="shared" si="70"/>
        <v>0</v>
      </c>
      <c r="Z30" s="43">
        <f t="shared" si="71"/>
        <v>0</v>
      </c>
      <c r="AB30" s="43">
        <v>15</v>
      </c>
      <c r="AC30" s="43">
        <f>H30*0.781816443594646</f>
        <v>0</v>
      </c>
      <c r="AD30" s="43">
        <f>H30*(1-0.781816443594646)</f>
        <v>0</v>
      </c>
      <c r="AE30" s="45" t="s">
        <v>39</v>
      </c>
      <c r="AK30" s="43">
        <f t="shared" si="72"/>
        <v>0</v>
      </c>
      <c r="AL30" s="43">
        <f t="shared" si="73"/>
        <v>0</v>
      </c>
      <c r="AM30" s="45" t="s">
        <v>96</v>
      </c>
      <c r="AN30" s="45" t="s">
        <v>81</v>
      </c>
      <c r="AO30" s="37" t="s">
        <v>45</v>
      </c>
      <c r="AQ30" s="43">
        <f t="shared" si="74"/>
        <v>0</v>
      </c>
      <c r="AR30" s="43">
        <f t="shared" si="75"/>
        <v>0</v>
      </c>
      <c r="AS30" s="43">
        <v>0</v>
      </c>
      <c r="AT30" s="43" t="e">
        <f>#REF!</f>
        <v>#REF!</v>
      </c>
    </row>
    <row r="31" spans="1:35" ht="14.25">
      <c r="A31" s="46"/>
      <c r="B31" s="47"/>
      <c r="C31" s="47" t="s">
        <v>100</v>
      </c>
      <c r="D31" s="23"/>
      <c r="E31" s="47" t="s">
        <v>101</v>
      </c>
      <c r="F31" s="47"/>
      <c r="G31" s="47"/>
      <c r="H31" s="47"/>
      <c r="I31" s="41">
        <f>SUM(I32:I34)</f>
        <v>0</v>
      </c>
      <c r="J31" s="41">
        <f>SUM(J32:J34)</f>
        <v>0</v>
      </c>
      <c r="K31" s="41">
        <f>I31+J31</f>
        <v>0</v>
      </c>
      <c r="W31" s="37"/>
      <c r="AG31" s="41">
        <f>SUM(X32:X34)</f>
        <v>0</v>
      </c>
      <c r="AH31" s="41">
        <f>SUM(Y32:Y34)</f>
        <v>0</v>
      </c>
      <c r="AI31" s="41">
        <f>SUM(Z32:Z34)</f>
        <v>0</v>
      </c>
    </row>
    <row r="32" spans="1:46" ht="14.25">
      <c r="A32" s="42" t="s">
        <v>102</v>
      </c>
      <c r="B32" s="42"/>
      <c r="C32" s="42" t="s">
        <v>103</v>
      </c>
      <c r="D32" s="31"/>
      <c r="E32" s="42" t="s">
        <v>104</v>
      </c>
      <c r="F32" s="42" t="s">
        <v>105</v>
      </c>
      <c r="G32" s="43">
        <v>9</v>
      </c>
      <c r="H32" s="44"/>
      <c r="I32" s="43">
        <f aca="true" t="shared" si="76" ref="I32:I34">G32*AC32</f>
        <v>0</v>
      </c>
      <c r="J32" s="43">
        <f aca="true" t="shared" si="77" ref="J32:J34">K32-I32</f>
        <v>0</v>
      </c>
      <c r="K32" s="43">
        <f aca="true" t="shared" si="78" ref="K32:K34">G32*H32</f>
        <v>0</v>
      </c>
      <c r="N32" s="43">
        <f aca="true" t="shared" si="79" ref="N32:N34">IF(AE32="5",K32,0)</f>
        <v>0</v>
      </c>
      <c r="P32" s="43">
        <f aca="true" t="shared" si="80" ref="P32:P34">IF(AE32="1",I32,0)</f>
        <v>0</v>
      </c>
      <c r="Q32" s="43">
        <f aca="true" t="shared" si="81" ref="Q32:Q34">IF(AE32="1",J32,0)</f>
        <v>0</v>
      </c>
      <c r="R32" s="43">
        <f aca="true" t="shared" si="82" ref="R32:R34">IF(AE32="7",I32,0)</f>
        <v>0</v>
      </c>
      <c r="S32" s="43">
        <f aca="true" t="shared" si="83" ref="S32:S34">IF(AE32="7",J32,0)</f>
        <v>0</v>
      </c>
      <c r="T32" s="43">
        <f aca="true" t="shared" si="84" ref="T32:T34">IF(AE32="2",I32,0)</f>
        <v>0</v>
      </c>
      <c r="U32" s="43">
        <f aca="true" t="shared" si="85" ref="U32:U34">IF(AE32="2",J32,0)</f>
        <v>0</v>
      </c>
      <c r="V32" s="43">
        <f aca="true" t="shared" si="86" ref="V32:V34">IF(AE32="0",K32,0)</f>
        <v>0</v>
      </c>
      <c r="W32" s="37"/>
      <c r="X32" s="43">
        <f aca="true" t="shared" si="87" ref="X32:X34">IF(AB32=0,K32,0)</f>
        <v>0</v>
      </c>
      <c r="Y32" s="43">
        <f aca="true" t="shared" si="88" ref="Y32:Y34">IF(AB32=15,K32,0)</f>
        <v>0</v>
      </c>
      <c r="Z32" s="43">
        <f aca="true" t="shared" si="89" ref="Z32:Z34">IF(AB32=21,K32,0)</f>
        <v>0</v>
      </c>
      <c r="AB32" s="43">
        <v>15</v>
      </c>
      <c r="AC32" s="43">
        <f>H32*0.123850331125828</f>
        <v>0</v>
      </c>
      <c r="AD32" s="43">
        <f>H32*(1-0.123850331125828)</f>
        <v>0</v>
      </c>
      <c r="AE32" s="45" t="s">
        <v>39</v>
      </c>
      <c r="AK32" s="43">
        <f aca="true" t="shared" si="90" ref="AK32:AK34">G32*AC32</f>
        <v>0</v>
      </c>
      <c r="AL32" s="43">
        <f aca="true" t="shared" si="91" ref="AL32:AL34">G32*AD32</f>
        <v>0</v>
      </c>
      <c r="AM32" s="45" t="s">
        <v>106</v>
      </c>
      <c r="AN32" s="45" t="s">
        <v>81</v>
      </c>
      <c r="AO32" s="37" t="s">
        <v>45</v>
      </c>
      <c r="AQ32" s="43">
        <f aca="true" t="shared" si="92" ref="AQ32:AQ34">AK32+AL32</f>
        <v>0</v>
      </c>
      <c r="AR32" s="43">
        <f aca="true" t="shared" si="93" ref="AR32:AR34">H32/(100-AS32)*100</f>
        <v>0</v>
      </c>
      <c r="AS32" s="43">
        <v>0</v>
      </c>
      <c r="AT32" s="43" t="e">
        <f>#REF!</f>
        <v>#REF!</v>
      </c>
    </row>
    <row r="33" spans="1:46" ht="14.25">
      <c r="A33" s="42" t="s">
        <v>107</v>
      </c>
      <c r="B33" s="42"/>
      <c r="C33" s="42" t="s">
        <v>108</v>
      </c>
      <c r="D33" s="31"/>
      <c r="E33" s="42" t="s">
        <v>109</v>
      </c>
      <c r="F33" s="42" t="s">
        <v>105</v>
      </c>
      <c r="G33" s="43">
        <v>1</v>
      </c>
      <c r="H33" s="44"/>
      <c r="I33" s="43">
        <f t="shared" si="76"/>
        <v>0</v>
      </c>
      <c r="J33" s="43">
        <f t="shared" si="77"/>
        <v>0</v>
      </c>
      <c r="K33" s="43">
        <f t="shared" si="78"/>
        <v>0</v>
      </c>
      <c r="N33" s="43">
        <f t="shared" si="79"/>
        <v>0</v>
      </c>
      <c r="P33" s="43">
        <f t="shared" si="80"/>
        <v>0</v>
      </c>
      <c r="Q33" s="43">
        <f t="shared" si="81"/>
        <v>0</v>
      </c>
      <c r="R33" s="43">
        <f t="shared" si="82"/>
        <v>0</v>
      </c>
      <c r="S33" s="43">
        <f t="shared" si="83"/>
        <v>0</v>
      </c>
      <c r="T33" s="43">
        <f t="shared" si="84"/>
        <v>0</v>
      </c>
      <c r="U33" s="43">
        <f t="shared" si="85"/>
        <v>0</v>
      </c>
      <c r="V33" s="43">
        <f t="shared" si="86"/>
        <v>0</v>
      </c>
      <c r="W33" s="37"/>
      <c r="X33" s="43">
        <f t="shared" si="87"/>
        <v>0</v>
      </c>
      <c r="Y33" s="43">
        <f t="shared" si="88"/>
        <v>0</v>
      </c>
      <c r="Z33" s="43">
        <f t="shared" si="89"/>
        <v>0</v>
      </c>
      <c r="AB33" s="43">
        <v>15</v>
      </c>
      <c r="AC33" s="43">
        <f>H33*0.104213866666667</f>
        <v>0</v>
      </c>
      <c r="AD33" s="43">
        <f>H33*(1-0.104213866666667)</f>
        <v>0</v>
      </c>
      <c r="AE33" s="45" t="s">
        <v>39</v>
      </c>
      <c r="AK33" s="43">
        <f t="shared" si="90"/>
        <v>0</v>
      </c>
      <c r="AL33" s="43">
        <f t="shared" si="91"/>
        <v>0</v>
      </c>
      <c r="AM33" s="45" t="s">
        <v>106</v>
      </c>
      <c r="AN33" s="45" t="s">
        <v>81</v>
      </c>
      <c r="AO33" s="37" t="s">
        <v>45</v>
      </c>
      <c r="AQ33" s="43">
        <f t="shared" si="92"/>
        <v>0</v>
      </c>
      <c r="AR33" s="43">
        <f t="shared" si="93"/>
        <v>0</v>
      </c>
      <c r="AS33" s="43">
        <v>0</v>
      </c>
      <c r="AT33" s="43" t="e">
        <f>#REF!</f>
        <v>#REF!</v>
      </c>
    </row>
    <row r="34" spans="1:46" ht="14.25">
      <c r="A34" s="42" t="s">
        <v>110</v>
      </c>
      <c r="B34" s="42"/>
      <c r="C34" s="42" t="s">
        <v>108</v>
      </c>
      <c r="D34" s="31"/>
      <c r="E34" s="42" t="s">
        <v>111</v>
      </c>
      <c r="F34" s="42" t="s">
        <v>105</v>
      </c>
      <c r="G34" s="43">
        <v>3</v>
      </c>
      <c r="H34" s="44"/>
      <c r="I34" s="43">
        <f t="shared" si="76"/>
        <v>0</v>
      </c>
      <c r="J34" s="43">
        <f t="shared" si="77"/>
        <v>0</v>
      </c>
      <c r="K34" s="43">
        <f t="shared" si="78"/>
        <v>0</v>
      </c>
      <c r="N34" s="43">
        <f t="shared" si="79"/>
        <v>0</v>
      </c>
      <c r="P34" s="43">
        <f t="shared" si="80"/>
        <v>0</v>
      </c>
      <c r="Q34" s="43">
        <f t="shared" si="81"/>
        <v>0</v>
      </c>
      <c r="R34" s="43">
        <f t="shared" si="82"/>
        <v>0</v>
      </c>
      <c r="S34" s="43">
        <f t="shared" si="83"/>
        <v>0</v>
      </c>
      <c r="T34" s="43">
        <f t="shared" si="84"/>
        <v>0</v>
      </c>
      <c r="U34" s="43">
        <f t="shared" si="85"/>
        <v>0</v>
      </c>
      <c r="V34" s="43">
        <f t="shared" si="86"/>
        <v>0</v>
      </c>
      <c r="W34" s="37"/>
      <c r="X34" s="43">
        <f t="shared" si="87"/>
        <v>0</v>
      </c>
      <c r="Y34" s="43">
        <f t="shared" si="88"/>
        <v>0</v>
      </c>
      <c r="Z34" s="43">
        <f t="shared" si="89"/>
        <v>0</v>
      </c>
      <c r="AB34" s="43">
        <v>15</v>
      </c>
      <c r="AC34" s="43">
        <f>H34*0.104213888888889</f>
        <v>0</v>
      </c>
      <c r="AD34" s="43">
        <f>H34*(1-0.104213888888889)</f>
        <v>0</v>
      </c>
      <c r="AE34" s="45" t="s">
        <v>39</v>
      </c>
      <c r="AK34" s="43">
        <f t="shared" si="90"/>
        <v>0</v>
      </c>
      <c r="AL34" s="43">
        <f t="shared" si="91"/>
        <v>0</v>
      </c>
      <c r="AM34" s="45" t="s">
        <v>106</v>
      </c>
      <c r="AN34" s="45" t="s">
        <v>81</v>
      </c>
      <c r="AO34" s="37" t="s">
        <v>45</v>
      </c>
      <c r="AQ34" s="43">
        <f t="shared" si="92"/>
        <v>0</v>
      </c>
      <c r="AR34" s="43">
        <f t="shared" si="93"/>
        <v>0</v>
      </c>
      <c r="AS34" s="43">
        <v>0</v>
      </c>
      <c r="AT34" s="43" t="e">
        <f>#REF!</f>
        <v>#REF!</v>
      </c>
    </row>
    <row r="35" spans="1:35" ht="14.25">
      <c r="A35" s="46"/>
      <c r="B35" s="47"/>
      <c r="C35" s="47" t="s">
        <v>112</v>
      </c>
      <c r="D35" s="23"/>
      <c r="E35" s="47" t="s">
        <v>113</v>
      </c>
      <c r="F35" s="47"/>
      <c r="G35" s="47"/>
      <c r="H35" s="47"/>
      <c r="I35" s="41">
        <f>SUM(I36:I36)</f>
        <v>0</v>
      </c>
      <c r="J35" s="41">
        <f>SUM(J36:J36)</f>
        <v>0</v>
      </c>
      <c r="K35" s="41">
        <f>I35+J35</f>
        <v>0</v>
      </c>
      <c r="W35" s="37"/>
      <c r="AG35" s="41">
        <f>SUM(X36:X36)</f>
        <v>0</v>
      </c>
      <c r="AH35" s="41">
        <f>SUM(Y36:Y36)</f>
        <v>0</v>
      </c>
      <c r="AI35" s="41">
        <f>SUM(Z36:Z36)</f>
        <v>0</v>
      </c>
    </row>
    <row r="36" spans="1:46" ht="14.25">
      <c r="A36" s="42" t="s">
        <v>114</v>
      </c>
      <c r="B36" s="42"/>
      <c r="C36" s="42" t="s">
        <v>115</v>
      </c>
      <c r="D36" s="31"/>
      <c r="E36" s="42" t="s">
        <v>116</v>
      </c>
      <c r="F36" s="42" t="s">
        <v>42</v>
      </c>
      <c r="G36" s="43">
        <v>36</v>
      </c>
      <c r="H36" s="44"/>
      <c r="I36" s="43">
        <f>G36*AC36</f>
        <v>0</v>
      </c>
      <c r="J36" s="43">
        <f>K36-I36</f>
        <v>0</v>
      </c>
      <c r="K36" s="43">
        <f>G36*H36</f>
        <v>0</v>
      </c>
      <c r="N36" s="43">
        <f>IF(AE36="5",K36,0)</f>
        <v>0</v>
      </c>
      <c r="P36" s="43">
        <f>IF(AE36="1",I36,0)</f>
        <v>0</v>
      </c>
      <c r="Q36" s="43">
        <f>IF(AE36="1",J36,0)</f>
        <v>0</v>
      </c>
      <c r="R36" s="43">
        <f>IF(AE36="7",I36,0)</f>
        <v>0</v>
      </c>
      <c r="S36" s="43">
        <f>IF(AE36="7",J36,0)</f>
        <v>0</v>
      </c>
      <c r="T36" s="43">
        <f>IF(AE36="2",I36,0)</f>
        <v>0</v>
      </c>
      <c r="U36" s="43">
        <f>IF(AE36="2",J36,0)</f>
        <v>0</v>
      </c>
      <c r="V36" s="43">
        <f>IF(AE36="0",K36,0)</f>
        <v>0</v>
      </c>
      <c r="W36" s="37"/>
      <c r="X36" s="43">
        <f>IF(AB36=0,K36,0)</f>
        <v>0</v>
      </c>
      <c r="Y36" s="43">
        <f>IF(AB36=15,K36,0)</f>
        <v>0</v>
      </c>
      <c r="Z36" s="43">
        <f>IF(AB36=21,K36,0)</f>
        <v>0</v>
      </c>
      <c r="AB36" s="43">
        <v>15</v>
      </c>
      <c r="AC36" s="43">
        <f>H36*0</f>
        <v>0</v>
      </c>
      <c r="AD36" s="43">
        <f>H36*(1-0)</f>
        <v>0</v>
      </c>
      <c r="AE36" s="45" t="s">
        <v>67</v>
      </c>
      <c r="AK36" s="43">
        <f>G36*AC36</f>
        <v>0</v>
      </c>
      <c r="AL36" s="43">
        <f>G36*AD36</f>
        <v>0</v>
      </c>
      <c r="AM36" s="45" t="s">
        <v>117</v>
      </c>
      <c r="AN36" s="45" t="s">
        <v>118</v>
      </c>
      <c r="AO36" s="37" t="s">
        <v>45</v>
      </c>
      <c r="AQ36" s="43">
        <f>AK36+AL36</f>
        <v>0</v>
      </c>
      <c r="AR36" s="43">
        <f>H36/(100-AS36)*100</f>
        <v>0</v>
      </c>
      <c r="AS36" s="43">
        <v>0</v>
      </c>
      <c r="AT36" s="43" t="e">
        <f>#REF!</f>
        <v>#REF!</v>
      </c>
    </row>
    <row r="37" spans="1:35" ht="14.25">
      <c r="A37" s="46"/>
      <c r="B37" s="47"/>
      <c r="C37" s="47" t="s">
        <v>119</v>
      </c>
      <c r="D37" s="23"/>
      <c r="E37" s="47" t="s">
        <v>120</v>
      </c>
      <c r="F37" s="47"/>
      <c r="G37" s="47"/>
      <c r="H37" s="47"/>
      <c r="I37" s="41">
        <f>SUM(I38:I39)</f>
        <v>0</v>
      </c>
      <c r="J37" s="41">
        <f>SUM(J38:J39)</f>
        <v>0</v>
      </c>
      <c r="K37" s="41">
        <f>I37+J37</f>
        <v>0</v>
      </c>
      <c r="W37" s="37"/>
      <c r="AG37" s="41">
        <f>SUM(X38:X39)</f>
        <v>0</v>
      </c>
      <c r="AH37" s="41">
        <f>SUM(Y38:Y39)</f>
        <v>0</v>
      </c>
      <c r="AI37" s="41">
        <f>SUM(Z38:Z39)</f>
        <v>0</v>
      </c>
    </row>
    <row r="38" spans="1:46" ht="14.25">
      <c r="A38" s="42" t="s">
        <v>121</v>
      </c>
      <c r="B38" s="42"/>
      <c r="C38" s="42" t="s">
        <v>122</v>
      </c>
      <c r="D38" s="31"/>
      <c r="E38" s="42" t="s">
        <v>123</v>
      </c>
      <c r="F38" s="42" t="s">
        <v>42</v>
      </c>
      <c r="G38" s="43">
        <v>100</v>
      </c>
      <c r="H38" s="44"/>
      <c r="I38" s="43">
        <f aca="true" t="shared" si="94" ref="I38:I39">G38*AC38</f>
        <v>0</v>
      </c>
      <c r="J38" s="43">
        <f aca="true" t="shared" si="95" ref="J38:J39">K38-I38</f>
        <v>0</v>
      </c>
      <c r="K38" s="43">
        <f aca="true" t="shared" si="96" ref="K38:K39">G38*H38</f>
        <v>0</v>
      </c>
      <c r="N38" s="43">
        <f aca="true" t="shared" si="97" ref="N38:N39">IF(AE38="5",K38,0)</f>
        <v>0</v>
      </c>
      <c r="P38" s="43">
        <f aca="true" t="shared" si="98" ref="P38:P39">IF(AE38="1",I38,0)</f>
        <v>0</v>
      </c>
      <c r="Q38" s="43">
        <f aca="true" t="shared" si="99" ref="Q38:Q39">IF(AE38="1",J38,0)</f>
        <v>0</v>
      </c>
      <c r="R38" s="43">
        <f aca="true" t="shared" si="100" ref="R38:R39">IF(AE38="7",I38,0)</f>
        <v>0</v>
      </c>
      <c r="S38" s="43">
        <f aca="true" t="shared" si="101" ref="S38:S39">IF(AE38="7",J38,0)</f>
        <v>0</v>
      </c>
      <c r="T38" s="43">
        <f aca="true" t="shared" si="102" ref="T38:T39">IF(AE38="2",I38,0)</f>
        <v>0</v>
      </c>
      <c r="U38" s="43">
        <f aca="true" t="shared" si="103" ref="U38:U39">IF(AE38="2",J38,0)</f>
        <v>0</v>
      </c>
      <c r="V38" s="43">
        <f aca="true" t="shared" si="104" ref="V38:V39">IF(AE38="0",K38,0)</f>
        <v>0</v>
      </c>
      <c r="W38" s="37"/>
      <c r="X38" s="43">
        <f aca="true" t="shared" si="105" ref="X38:X39">IF(AB38=0,K38,0)</f>
        <v>0</v>
      </c>
      <c r="Y38" s="43">
        <f aca="true" t="shared" si="106" ref="Y38:Y39">IF(AB38=15,K38,0)</f>
        <v>0</v>
      </c>
      <c r="Z38" s="43">
        <f aca="true" t="shared" si="107" ref="Z38:Z39">IF(AB38=21,K38,0)</f>
        <v>0</v>
      </c>
      <c r="AB38" s="43">
        <v>15</v>
      </c>
      <c r="AC38" s="43">
        <f>H38*0.890867010859889</f>
        <v>0</v>
      </c>
      <c r="AD38" s="43">
        <f>H38*(1-0.890867010859889)</f>
        <v>0</v>
      </c>
      <c r="AE38" s="45" t="s">
        <v>67</v>
      </c>
      <c r="AK38" s="43">
        <f aca="true" t="shared" si="108" ref="AK38:AK39">G38*AC38</f>
        <v>0</v>
      </c>
      <c r="AL38" s="43">
        <f aca="true" t="shared" si="109" ref="AL38:AL39">G38*AD38</f>
        <v>0</v>
      </c>
      <c r="AM38" s="45" t="s">
        <v>124</v>
      </c>
      <c r="AN38" s="45" t="s">
        <v>118</v>
      </c>
      <c r="AO38" s="37" t="s">
        <v>45</v>
      </c>
      <c r="AQ38" s="43">
        <f aca="true" t="shared" si="110" ref="AQ38:AQ39">AK38+AL38</f>
        <v>0</v>
      </c>
      <c r="AR38" s="43">
        <f aca="true" t="shared" si="111" ref="AR38:AR39">H38/(100-AS38)*100</f>
        <v>0</v>
      </c>
      <c r="AS38" s="43">
        <v>0</v>
      </c>
      <c r="AT38" s="43" t="e">
        <f>#REF!</f>
        <v>#REF!</v>
      </c>
    </row>
    <row r="39" spans="1:46" ht="14.25">
      <c r="A39" s="42" t="s">
        <v>125</v>
      </c>
      <c r="B39" s="42"/>
      <c r="C39" s="42" t="s">
        <v>122</v>
      </c>
      <c r="D39" s="31"/>
      <c r="E39" s="42" t="s">
        <v>126</v>
      </c>
      <c r="F39" s="42" t="s">
        <v>42</v>
      </c>
      <c r="G39" s="43">
        <v>100</v>
      </c>
      <c r="H39" s="44"/>
      <c r="I39" s="43">
        <f t="shared" si="94"/>
        <v>0</v>
      </c>
      <c r="J39" s="43">
        <f t="shared" si="95"/>
        <v>0</v>
      </c>
      <c r="K39" s="43">
        <f t="shared" si="96"/>
        <v>0</v>
      </c>
      <c r="N39" s="43">
        <f t="shared" si="97"/>
        <v>0</v>
      </c>
      <c r="P39" s="43">
        <f t="shared" si="98"/>
        <v>0</v>
      </c>
      <c r="Q39" s="43">
        <f t="shared" si="99"/>
        <v>0</v>
      </c>
      <c r="R39" s="43">
        <f t="shared" si="100"/>
        <v>0</v>
      </c>
      <c r="S39" s="43">
        <f t="shared" si="101"/>
        <v>0</v>
      </c>
      <c r="T39" s="43">
        <f t="shared" si="102"/>
        <v>0</v>
      </c>
      <c r="U39" s="43">
        <f t="shared" si="103"/>
        <v>0</v>
      </c>
      <c r="V39" s="43">
        <f t="shared" si="104"/>
        <v>0</v>
      </c>
      <c r="W39" s="37"/>
      <c r="X39" s="43">
        <f t="shared" si="105"/>
        <v>0</v>
      </c>
      <c r="Y39" s="43">
        <f t="shared" si="106"/>
        <v>0</v>
      </c>
      <c r="Z39" s="43">
        <f t="shared" si="107"/>
        <v>0</v>
      </c>
      <c r="AB39" s="43">
        <v>15</v>
      </c>
      <c r="AC39" s="43">
        <f>H39*0.89086701085989</f>
        <v>0</v>
      </c>
      <c r="AD39" s="43">
        <f>H39*(1-0.89086701085989)</f>
        <v>0</v>
      </c>
      <c r="AE39" s="45" t="s">
        <v>67</v>
      </c>
      <c r="AK39" s="43">
        <f t="shared" si="108"/>
        <v>0</v>
      </c>
      <c r="AL39" s="43">
        <f t="shared" si="109"/>
        <v>0</v>
      </c>
      <c r="AM39" s="45" t="s">
        <v>124</v>
      </c>
      <c r="AN39" s="45" t="s">
        <v>118</v>
      </c>
      <c r="AO39" s="37" t="s">
        <v>45</v>
      </c>
      <c r="AQ39" s="43">
        <f t="shared" si="110"/>
        <v>0</v>
      </c>
      <c r="AR39" s="43">
        <f t="shared" si="111"/>
        <v>0</v>
      </c>
      <c r="AS39" s="43">
        <v>0</v>
      </c>
      <c r="AT39" s="43" t="e">
        <f>#REF!</f>
        <v>#REF!</v>
      </c>
    </row>
    <row r="40" spans="1:35" ht="14.25">
      <c r="A40" s="46"/>
      <c r="B40" s="47"/>
      <c r="C40" s="47" t="s">
        <v>127</v>
      </c>
      <c r="D40" s="23"/>
      <c r="E40" s="47" t="s">
        <v>128</v>
      </c>
      <c r="F40" s="47"/>
      <c r="G40" s="47"/>
      <c r="H40" s="47"/>
      <c r="I40" s="41">
        <f>SUM(I41:I41)</f>
        <v>0</v>
      </c>
      <c r="J40" s="41">
        <f>SUM(J41:J41)</f>
        <v>0</v>
      </c>
      <c r="K40" s="41">
        <f>I40+J40</f>
        <v>0</v>
      </c>
      <c r="W40" s="37"/>
      <c r="AG40" s="41">
        <f>SUM(X41:X41)</f>
        <v>0</v>
      </c>
      <c r="AH40" s="41">
        <f>SUM(Y41:Y41)</f>
        <v>0</v>
      </c>
      <c r="AI40" s="41">
        <f>SUM(Z41:Z41)</f>
        <v>0</v>
      </c>
    </row>
    <row r="41" spans="1:46" ht="14.25">
      <c r="A41" s="42" t="s">
        <v>129</v>
      </c>
      <c r="B41" s="42"/>
      <c r="C41" s="42" t="s">
        <v>130</v>
      </c>
      <c r="D41" s="31"/>
      <c r="E41" s="42" t="s">
        <v>131</v>
      </c>
      <c r="F41" s="42" t="s">
        <v>105</v>
      </c>
      <c r="G41" s="43">
        <v>1</v>
      </c>
      <c r="H41" s="44"/>
      <c r="I41" s="43">
        <f>G41*AC41</f>
        <v>0</v>
      </c>
      <c r="J41" s="43">
        <f>K41-I41</f>
        <v>0</v>
      </c>
      <c r="K41" s="43">
        <f>G41*H41</f>
        <v>0</v>
      </c>
      <c r="N41" s="43">
        <f>IF(AE41="5",K41,0)</f>
        <v>0</v>
      </c>
      <c r="P41" s="43">
        <f>IF(AE41="1",I41,0)</f>
        <v>0</v>
      </c>
      <c r="Q41" s="43">
        <f>IF(AE41="1",J41,0)</f>
        <v>0</v>
      </c>
      <c r="R41" s="43">
        <f>IF(AE41="7",I41,0)</f>
        <v>0</v>
      </c>
      <c r="S41" s="43">
        <f>IF(AE41="7",J41,0)</f>
        <v>0</v>
      </c>
      <c r="T41" s="43">
        <f>IF(AE41="2",I41,0)</f>
        <v>0</v>
      </c>
      <c r="U41" s="43">
        <f>IF(AE41="2",J41,0)</f>
        <v>0</v>
      </c>
      <c r="V41" s="43">
        <f>IF(AE41="0",K41,0)</f>
        <v>0</v>
      </c>
      <c r="W41" s="37"/>
      <c r="X41" s="43">
        <f>IF(AB41=0,K41,0)</f>
        <v>0</v>
      </c>
      <c r="Y41" s="43">
        <f>IF(AB41=15,K41,0)</f>
        <v>0</v>
      </c>
      <c r="Z41" s="43">
        <f>IF(AB41=21,K41,0)</f>
        <v>0</v>
      </c>
      <c r="AB41" s="43">
        <v>15</v>
      </c>
      <c r="AC41" s="43">
        <f>H41*0</f>
        <v>0</v>
      </c>
      <c r="AD41" s="43">
        <f>H41*(1-0)</f>
        <v>0</v>
      </c>
      <c r="AE41" s="45" t="s">
        <v>67</v>
      </c>
      <c r="AK41" s="43">
        <f>G41*AC41</f>
        <v>0</v>
      </c>
      <c r="AL41" s="43">
        <f>G41*AD41</f>
        <v>0</v>
      </c>
      <c r="AM41" s="45" t="s">
        <v>132</v>
      </c>
      <c r="AN41" s="45" t="s">
        <v>133</v>
      </c>
      <c r="AO41" s="37" t="s">
        <v>45</v>
      </c>
      <c r="AQ41" s="43">
        <f>AK41+AL41</f>
        <v>0</v>
      </c>
      <c r="AR41" s="43">
        <f>H41/(100-AS41)*100</f>
        <v>0</v>
      </c>
      <c r="AS41" s="43">
        <v>0</v>
      </c>
      <c r="AT41" s="43" t="e">
        <f>#REF!</f>
        <v>#REF!</v>
      </c>
    </row>
    <row r="42" spans="1:35" ht="14.25">
      <c r="A42" s="46"/>
      <c r="B42" s="47"/>
      <c r="C42" s="47" t="s">
        <v>134</v>
      </c>
      <c r="D42" s="23"/>
      <c r="E42" s="47" t="s">
        <v>135</v>
      </c>
      <c r="F42" s="47"/>
      <c r="G42" s="47"/>
      <c r="H42" s="47"/>
      <c r="I42" s="41">
        <f>SUM(I43:I44)</f>
        <v>0</v>
      </c>
      <c r="J42" s="41">
        <f>SUM(J43:J44)</f>
        <v>0</v>
      </c>
      <c r="K42" s="41">
        <f>I42+J42</f>
        <v>0</v>
      </c>
      <c r="W42" s="37"/>
      <c r="AG42" s="41">
        <f>SUM(X43:X44)</f>
        <v>0</v>
      </c>
      <c r="AH42" s="41">
        <f>SUM(Y43:Y44)</f>
        <v>0</v>
      </c>
      <c r="AI42" s="41">
        <f>SUM(Z43:Z44)</f>
        <v>0</v>
      </c>
    </row>
    <row r="43" spans="1:46" ht="14.25">
      <c r="A43" s="42" t="s">
        <v>136</v>
      </c>
      <c r="B43" s="42"/>
      <c r="C43" s="42" t="s">
        <v>137</v>
      </c>
      <c r="D43" s="31"/>
      <c r="E43" s="42" t="s">
        <v>138</v>
      </c>
      <c r="F43" s="42" t="s">
        <v>105</v>
      </c>
      <c r="G43" s="43">
        <v>1</v>
      </c>
      <c r="H43" s="44"/>
      <c r="I43" s="43">
        <f aca="true" t="shared" si="112" ref="I43:I44">G43*AC43</f>
        <v>0</v>
      </c>
      <c r="J43" s="43">
        <f aca="true" t="shared" si="113" ref="J43:J44">K43-I43</f>
        <v>0</v>
      </c>
      <c r="K43" s="43">
        <f aca="true" t="shared" si="114" ref="K43:K44">G43*H43</f>
        <v>0</v>
      </c>
      <c r="N43" s="43">
        <f aca="true" t="shared" si="115" ref="N43:N44">IF(AE43="5",K43,0)</f>
        <v>0</v>
      </c>
      <c r="P43" s="43">
        <f aca="true" t="shared" si="116" ref="P43:P44">IF(AE43="1",I43,0)</f>
        <v>0</v>
      </c>
      <c r="Q43" s="43">
        <f aca="true" t="shared" si="117" ref="Q43:Q44">IF(AE43="1",J43,0)</f>
        <v>0</v>
      </c>
      <c r="R43" s="43">
        <f aca="true" t="shared" si="118" ref="R43:R44">IF(AE43="7",I43,0)</f>
        <v>0</v>
      </c>
      <c r="S43" s="43">
        <f aca="true" t="shared" si="119" ref="S43:S44">IF(AE43="7",J43,0)</f>
        <v>0</v>
      </c>
      <c r="T43" s="43">
        <f aca="true" t="shared" si="120" ref="T43:T44">IF(AE43="2",I43,0)</f>
        <v>0</v>
      </c>
      <c r="U43" s="43">
        <f aca="true" t="shared" si="121" ref="U43:U44">IF(AE43="2",J43,0)</f>
        <v>0</v>
      </c>
      <c r="V43" s="43">
        <f aca="true" t="shared" si="122" ref="V43:V44">IF(AE43="0",K43,0)</f>
        <v>0</v>
      </c>
      <c r="W43" s="37"/>
      <c r="X43" s="43">
        <f aca="true" t="shared" si="123" ref="X43:X44">IF(AB43=0,K43,0)</f>
        <v>0</v>
      </c>
      <c r="Y43" s="43">
        <f aca="true" t="shared" si="124" ref="Y43:Y44">IF(AB43=15,K43,0)</f>
        <v>0</v>
      </c>
      <c r="Z43" s="43">
        <f aca="true" t="shared" si="125" ref="Z43:Z44">IF(AB43=21,K43,0)</f>
        <v>0</v>
      </c>
      <c r="AB43" s="43">
        <v>15</v>
      </c>
      <c r="AC43" s="43">
        <f>H43*0.840869902912621</f>
        <v>0</v>
      </c>
      <c r="AD43" s="43">
        <f>H43*(1-0.840869902912621)</f>
        <v>0</v>
      </c>
      <c r="AE43" s="45" t="s">
        <v>67</v>
      </c>
      <c r="AK43" s="43">
        <f aca="true" t="shared" si="126" ref="AK43:AK44">G43*AC43</f>
        <v>0</v>
      </c>
      <c r="AL43" s="43">
        <f aca="true" t="shared" si="127" ref="AL43:AL44">G43*AD43</f>
        <v>0</v>
      </c>
      <c r="AM43" s="45" t="s">
        <v>139</v>
      </c>
      <c r="AN43" s="45" t="s">
        <v>133</v>
      </c>
      <c r="AO43" s="37" t="s">
        <v>45</v>
      </c>
      <c r="AQ43" s="43">
        <f aca="true" t="shared" si="128" ref="AQ43:AQ44">AK43+AL43</f>
        <v>0</v>
      </c>
      <c r="AR43" s="43">
        <f aca="true" t="shared" si="129" ref="AR43:AR44">H43/(100-AS43)*100</f>
        <v>0</v>
      </c>
      <c r="AS43" s="43">
        <v>0</v>
      </c>
      <c r="AT43" s="43" t="e">
        <f>#REF!</f>
        <v>#REF!</v>
      </c>
    </row>
    <row r="44" spans="1:46" ht="14.25">
      <c r="A44" s="42" t="s">
        <v>140</v>
      </c>
      <c r="B44" s="42"/>
      <c r="C44" s="42" t="s">
        <v>141</v>
      </c>
      <c r="D44" s="31"/>
      <c r="E44" s="42" t="s">
        <v>142</v>
      </c>
      <c r="F44" s="42" t="s">
        <v>105</v>
      </c>
      <c r="G44" s="43">
        <v>1</v>
      </c>
      <c r="H44" s="44"/>
      <c r="I44" s="43">
        <f t="shared" si="112"/>
        <v>0</v>
      </c>
      <c r="J44" s="43">
        <f t="shared" si="113"/>
        <v>0</v>
      </c>
      <c r="K44" s="43">
        <f t="shared" si="114"/>
        <v>0</v>
      </c>
      <c r="N44" s="43">
        <f t="shared" si="115"/>
        <v>0</v>
      </c>
      <c r="P44" s="43">
        <f t="shared" si="116"/>
        <v>0</v>
      </c>
      <c r="Q44" s="43">
        <f t="shared" si="117"/>
        <v>0</v>
      </c>
      <c r="R44" s="43">
        <f t="shared" si="118"/>
        <v>0</v>
      </c>
      <c r="S44" s="43">
        <f t="shared" si="119"/>
        <v>0</v>
      </c>
      <c r="T44" s="43">
        <f t="shared" si="120"/>
        <v>0</v>
      </c>
      <c r="U44" s="43">
        <f t="shared" si="121"/>
        <v>0</v>
      </c>
      <c r="V44" s="43">
        <f t="shared" si="122"/>
        <v>0</v>
      </c>
      <c r="W44" s="37"/>
      <c r="X44" s="43">
        <f t="shared" si="123"/>
        <v>0</v>
      </c>
      <c r="Y44" s="43">
        <f t="shared" si="124"/>
        <v>0</v>
      </c>
      <c r="Z44" s="43">
        <f t="shared" si="125"/>
        <v>0</v>
      </c>
      <c r="AB44" s="43">
        <v>15</v>
      </c>
      <c r="AC44" s="43">
        <f>H44*0.789024666666667</f>
        <v>0</v>
      </c>
      <c r="AD44" s="43">
        <f>H44*(1-0.789024666666667)</f>
        <v>0</v>
      </c>
      <c r="AE44" s="45" t="s">
        <v>67</v>
      </c>
      <c r="AK44" s="43">
        <f t="shared" si="126"/>
        <v>0</v>
      </c>
      <c r="AL44" s="43">
        <f t="shared" si="127"/>
        <v>0</v>
      </c>
      <c r="AM44" s="45" t="s">
        <v>139</v>
      </c>
      <c r="AN44" s="45" t="s">
        <v>133</v>
      </c>
      <c r="AO44" s="37" t="s">
        <v>45</v>
      </c>
      <c r="AQ44" s="43">
        <f t="shared" si="128"/>
        <v>0</v>
      </c>
      <c r="AR44" s="43">
        <f t="shared" si="129"/>
        <v>0</v>
      </c>
      <c r="AS44" s="43">
        <v>0</v>
      </c>
      <c r="AT44" s="43" t="e">
        <f>#REF!</f>
        <v>#REF!</v>
      </c>
    </row>
    <row r="45" spans="1:35" ht="14.25">
      <c r="A45" s="46"/>
      <c r="B45" s="47"/>
      <c r="C45" s="47" t="s">
        <v>143</v>
      </c>
      <c r="D45" s="23"/>
      <c r="E45" s="47" t="s">
        <v>144</v>
      </c>
      <c r="F45" s="47"/>
      <c r="G45" s="47"/>
      <c r="H45" s="47"/>
      <c r="I45" s="41">
        <f>SUM(I46:I46)</f>
        <v>0</v>
      </c>
      <c r="J45" s="41">
        <f>SUM(J46:J46)</f>
        <v>0</v>
      </c>
      <c r="K45" s="41">
        <f>I45+J45</f>
        <v>0</v>
      </c>
      <c r="W45" s="37"/>
      <c r="AG45" s="41">
        <f>SUM(X46:X46)</f>
        <v>0</v>
      </c>
      <c r="AH45" s="41">
        <f>SUM(Y46:Y46)</f>
        <v>0</v>
      </c>
      <c r="AI45" s="41">
        <f>SUM(Z46:Z46)</f>
        <v>0</v>
      </c>
    </row>
    <row r="46" spans="1:46" ht="14.25">
      <c r="A46" s="42" t="s">
        <v>145</v>
      </c>
      <c r="B46" s="42"/>
      <c r="C46" s="42" t="s">
        <v>146</v>
      </c>
      <c r="D46" s="31"/>
      <c r="E46" s="42" t="s">
        <v>147</v>
      </c>
      <c r="F46" s="42" t="s">
        <v>105</v>
      </c>
      <c r="G46" s="43">
        <v>1</v>
      </c>
      <c r="H46" s="44"/>
      <c r="I46" s="43">
        <f>G46*AC46</f>
        <v>0</v>
      </c>
      <c r="J46" s="43">
        <f>K46-I46</f>
        <v>0</v>
      </c>
      <c r="K46" s="43">
        <f>G46*H46</f>
        <v>0</v>
      </c>
      <c r="N46" s="43">
        <f>IF(AE46="5",K46,0)</f>
        <v>0</v>
      </c>
      <c r="P46" s="43">
        <f>IF(AE46="1",I46,0)</f>
        <v>0</v>
      </c>
      <c r="Q46" s="43">
        <f>IF(AE46="1",J46,0)</f>
        <v>0</v>
      </c>
      <c r="R46" s="43">
        <f>IF(AE46="7",I46,0)</f>
        <v>0</v>
      </c>
      <c r="S46" s="43">
        <f>IF(AE46="7",J46,0)</f>
        <v>0</v>
      </c>
      <c r="T46" s="43">
        <f>IF(AE46="2",I46,0)</f>
        <v>0</v>
      </c>
      <c r="U46" s="43">
        <f>IF(AE46="2",J46,0)</f>
        <v>0</v>
      </c>
      <c r="V46" s="43">
        <f>IF(AE46="0",K46,0)</f>
        <v>0</v>
      </c>
      <c r="W46" s="37"/>
      <c r="X46" s="43">
        <f>IF(AB46=0,K46,0)</f>
        <v>0</v>
      </c>
      <c r="Y46" s="43">
        <f>IF(AB46=15,K46,0)</f>
        <v>0</v>
      </c>
      <c r="Z46" s="43">
        <f>IF(AB46=21,K46,0)</f>
        <v>0</v>
      </c>
      <c r="AB46" s="43">
        <v>15</v>
      </c>
      <c r="AC46" s="43">
        <f>H46*0</f>
        <v>0</v>
      </c>
      <c r="AD46" s="43">
        <f>H46*(1-0)</f>
        <v>0</v>
      </c>
      <c r="AE46" s="45" t="s">
        <v>67</v>
      </c>
      <c r="AK46" s="43">
        <f>G46*AC46</f>
        <v>0</v>
      </c>
      <c r="AL46" s="43">
        <f>G46*AD46</f>
        <v>0</v>
      </c>
      <c r="AM46" s="45" t="s">
        <v>148</v>
      </c>
      <c r="AN46" s="45" t="s">
        <v>133</v>
      </c>
      <c r="AO46" s="37" t="s">
        <v>45</v>
      </c>
      <c r="AQ46" s="43">
        <f>AK46+AL46</f>
        <v>0</v>
      </c>
      <c r="AR46" s="43">
        <f>H46/(100-AS46)*100</f>
        <v>0</v>
      </c>
      <c r="AS46" s="43">
        <v>0</v>
      </c>
      <c r="AT46" s="43" t="e">
        <f>#REF!</f>
        <v>#REF!</v>
      </c>
    </row>
    <row r="47" spans="1:35" ht="14.25">
      <c r="A47" s="46"/>
      <c r="B47" s="47"/>
      <c r="C47" s="47" t="s">
        <v>149</v>
      </c>
      <c r="D47" s="23"/>
      <c r="E47" s="47" t="s">
        <v>150</v>
      </c>
      <c r="F47" s="47"/>
      <c r="G47" s="47"/>
      <c r="H47" s="47"/>
      <c r="I47" s="41">
        <f>SUM(I48:I48)</f>
        <v>0</v>
      </c>
      <c r="J47" s="41">
        <f>SUM(J48:J48)</f>
        <v>0</v>
      </c>
      <c r="K47" s="41">
        <f>I47+J47</f>
        <v>0</v>
      </c>
      <c r="W47" s="37"/>
      <c r="AG47" s="41">
        <f>SUM(X48:X48)</f>
        <v>0</v>
      </c>
      <c r="AH47" s="41">
        <f>SUM(Y48:Y48)</f>
        <v>0</v>
      </c>
      <c r="AI47" s="41">
        <f>SUM(Z48:Z48)</f>
        <v>0</v>
      </c>
    </row>
    <row r="48" spans="1:46" ht="14.25">
      <c r="A48" s="42" t="s">
        <v>151</v>
      </c>
      <c r="B48" s="42"/>
      <c r="C48" s="42" t="s">
        <v>152</v>
      </c>
      <c r="D48" s="31"/>
      <c r="E48" s="42" t="s">
        <v>153</v>
      </c>
      <c r="F48" s="42" t="s">
        <v>154</v>
      </c>
      <c r="G48" s="43">
        <v>1</v>
      </c>
      <c r="H48" s="44"/>
      <c r="I48" s="43">
        <f>G48*AC48</f>
        <v>0</v>
      </c>
      <c r="J48" s="43">
        <f>K48-I48</f>
        <v>0</v>
      </c>
      <c r="K48" s="43">
        <f>G48*H48</f>
        <v>0</v>
      </c>
      <c r="N48" s="43">
        <f>IF(AE48="5",K48,0)</f>
        <v>0</v>
      </c>
      <c r="P48" s="43">
        <f>IF(AE48="1",I48,0)</f>
        <v>0</v>
      </c>
      <c r="Q48" s="43">
        <f>IF(AE48="1",J48,0)</f>
        <v>0</v>
      </c>
      <c r="R48" s="43">
        <f>IF(AE48="7",I48,0)</f>
        <v>0</v>
      </c>
      <c r="S48" s="43">
        <f>IF(AE48="7",J48,0)</f>
        <v>0</v>
      </c>
      <c r="T48" s="43">
        <f>IF(AE48="2",I48,0)</f>
        <v>0</v>
      </c>
      <c r="U48" s="43">
        <f>IF(AE48="2",J48,0)</f>
        <v>0</v>
      </c>
      <c r="V48" s="43">
        <f>IF(AE48="0",K48,0)</f>
        <v>0</v>
      </c>
      <c r="W48" s="37"/>
      <c r="X48" s="43">
        <f>IF(AB48=0,K48,0)</f>
        <v>0</v>
      </c>
      <c r="Y48" s="43">
        <f>IF(AB48=15,K48,0)</f>
        <v>0</v>
      </c>
      <c r="Z48" s="43">
        <f>IF(AB48=21,K48,0)</f>
        <v>0</v>
      </c>
      <c r="AB48" s="43">
        <v>15</v>
      </c>
      <c r="AC48" s="43">
        <f>H48*0.2060196</f>
        <v>0</v>
      </c>
      <c r="AD48" s="43">
        <f>H48*(1-0.2060196)</f>
        <v>0</v>
      </c>
      <c r="AE48" s="45" t="s">
        <v>67</v>
      </c>
      <c r="AK48" s="43">
        <f>G48*AC48</f>
        <v>0</v>
      </c>
      <c r="AL48" s="43">
        <f>G48*AD48</f>
        <v>0</v>
      </c>
      <c r="AM48" s="45" t="s">
        <v>155</v>
      </c>
      <c r="AN48" s="45" t="s">
        <v>156</v>
      </c>
      <c r="AO48" s="37" t="s">
        <v>45</v>
      </c>
      <c r="AQ48" s="43">
        <f>AK48+AL48</f>
        <v>0</v>
      </c>
      <c r="AR48" s="43">
        <f>H48/(100-AS48)*100</f>
        <v>0</v>
      </c>
      <c r="AS48" s="43">
        <v>0</v>
      </c>
      <c r="AT48" s="43" t="e">
        <f>#REF!</f>
        <v>#REF!</v>
      </c>
    </row>
    <row r="49" spans="1:35" ht="14.25">
      <c r="A49" s="46"/>
      <c r="B49" s="47"/>
      <c r="C49" s="47" t="s">
        <v>157</v>
      </c>
      <c r="D49" s="23"/>
      <c r="E49" s="47" t="s">
        <v>158</v>
      </c>
      <c r="F49" s="47"/>
      <c r="G49" s="47"/>
      <c r="H49" s="47"/>
      <c r="I49" s="41">
        <f>SUM(I50:I53)</f>
        <v>0</v>
      </c>
      <c r="J49" s="41">
        <f>SUM(J50:J53)</f>
        <v>0</v>
      </c>
      <c r="K49" s="41">
        <f>I49+J49</f>
        <v>0</v>
      </c>
      <c r="W49" s="37"/>
      <c r="AG49" s="41">
        <f>SUM(X50:X53)</f>
        <v>0</v>
      </c>
      <c r="AH49" s="41">
        <f>SUM(Y50:Y53)</f>
        <v>0</v>
      </c>
      <c r="AI49" s="41">
        <f>SUM(Z50:Z53)</f>
        <v>0</v>
      </c>
    </row>
    <row r="50" spans="1:46" ht="14.25">
      <c r="A50" s="42" t="s">
        <v>159</v>
      </c>
      <c r="B50" s="42"/>
      <c r="C50" s="42" t="s">
        <v>160</v>
      </c>
      <c r="D50" s="31"/>
      <c r="E50" s="42" t="s">
        <v>161</v>
      </c>
      <c r="F50" s="42" t="s">
        <v>105</v>
      </c>
      <c r="G50" s="43">
        <v>1</v>
      </c>
      <c r="H50" s="44"/>
      <c r="I50" s="43">
        <f aca="true" t="shared" si="130" ref="I50:I53">G50*AC50</f>
        <v>0</v>
      </c>
      <c r="J50" s="43">
        <f aca="true" t="shared" si="131" ref="J50:J53">K50-I50</f>
        <v>0</v>
      </c>
      <c r="K50" s="43">
        <f aca="true" t="shared" si="132" ref="K50:K53">G50*H50</f>
        <v>0</v>
      </c>
      <c r="N50" s="43">
        <f aca="true" t="shared" si="133" ref="N50:N53">IF(AE50="5",K50,0)</f>
        <v>0</v>
      </c>
      <c r="P50" s="43">
        <f aca="true" t="shared" si="134" ref="P50:P53">IF(AE50="1",I50,0)</f>
        <v>0</v>
      </c>
      <c r="Q50" s="43">
        <f aca="true" t="shared" si="135" ref="Q50:Q53">IF(AE50="1",J50,0)</f>
        <v>0</v>
      </c>
      <c r="R50" s="43">
        <f aca="true" t="shared" si="136" ref="R50:R53">IF(AE50="7",I50,0)</f>
        <v>0</v>
      </c>
      <c r="S50" s="43">
        <f aca="true" t="shared" si="137" ref="S50:S53">IF(AE50="7",J50,0)</f>
        <v>0</v>
      </c>
      <c r="T50" s="43">
        <f aca="true" t="shared" si="138" ref="T50:T53">IF(AE50="2",I50,0)</f>
        <v>0</v>
      </c>
      <c r="U50" s="43">
        <f aca="true" t="shared" si="139" ref="U50:U53">IF(AE50="2",J50,0)</f>
        <v>0</v>
      </c>
      <c r="V50" s="43">
        <f aca="true" t="shared" si="140" ref="V50:V53">IF(AE50="0",K50,0)</f>
        <v>0</v>
      </c>
      <c r="W50" s="37"/>
      <c r="X50" s="43">
        <f aca="true" t="shared" si="141" ref="X50:X53">IF(AB50=0,K50,0)</f>
        <v>0</v>
      </c>
      <c r="Y50" s="43">
        <f aca="true" t="shared" si="142" ref="Y50:Y53">IF(AB50=15,K50,0)</f>
        <v>0</v>
      </c>
      <c r="Z50" s="43">
        <f aca="true" t="shared" si="143" ref="Z50:Z53">IF(AB50=21,K50,0)</f>
        <v>0</v>
      </c>
      <c r="AB50" s="43">
        <v>15</v>
      </c>
      <c r="AC50" s="43">
        <f>H50*0.0163295938104449</f>
        <v>0</v>
      </c>
      <c r="AD50" s="43">
        <f>H50*(1-0.0163295938104449)</f>
        <v>0</v>
      </c>
      <c r="AE50" s="45" t="s">
        <v>67</v>
      </c>
      <c r="AK50" s="43">
        <f aca="true" t="shared" si="144" ref="AK50:AK53">G50*AC50</f>
        <v>0</v>
      </c>
      <c r="AL50" s="43">
        <f aca="true" t="shared" si="145" ref="AL50:AL53">G50*AD50</f>
        <v>0</v>
      </c>
      <c r="AM50" s="45" t="s">
        <v>162</v>
      </c>
      <c r="AN50" s="45" t="s">
        <v>163</v>
      </c>
      <c r="AO50" s="37" t="s">
        <v>45</v>
      </c>
      <c r="AQ50" s="43">
        <f aca="true" t="shared" si="146" ref="AQ50:AQ53">AK50+AL50</f>
        <v>0</v>
      </c>
      <c r="AR50" s="43">
        <f aca="true" t="shared" si="147" ref="AR50:AR53">H50/(100-AS50)*100</f>
        <v>0</v>
      </c>
      <c r="AS50" s="43">
        <v>0</v>
      </c>
      <c r="AT50" s="43" t="e">
        <f>#REF!</f>
        <v>#REF!</v>
      </c>
    </row>
    <row r="51" spans="1:46" ht="14.25">
      <c r="A51" s="42" t="s">
        <v>164</v>
      </c>
      <c r="B51" s="42"/>
      <c r="C51" s="42" t="s">
        <v>160</v>
      </c>
      <c r="D51" s="31"/>
      <c r="E51" s="42" t="s">
        <v>165</v>
      </c>
      <c r="F51" s="42" t="s">
        <v>42</v>
      </c>
      <c r="G51" s="43">
        <v>100</v>
      </c>
      <c r="H51" s="44"/>
      <c r="I51" s="43">
        <f t="shared" si="130"/>
        <v>0</v>
      </c>
      <c r="J51" s="43">
        <f t="shared" si="131"/>
        <v>0</v>
      </c>
      <c r="K51" s="43">
        <f t="shared" si="132"/>
        <v>0</v>
      </c>
      <c r="N51" s="43">
        <f t="shared" si="133"/>
        <v>0</v>
      </c>
      <c r="P51" s="43">
        <f t="shared" si="134"/>
        <v>0</v>
      </c>
      <c r="Q51" s="43">
        <f t="shared" si="135"/>
        <v>0</v>
      </c>
      <c r="R51" s="43">
        <f t="shared" si="136"/>
        <v>0</v>
      </c>
      <c r="S51" s="43">
        <f t="shared" si="137"/>
        <v>0</v>
      </c>
      <c r="T51" s="43">
        <f t="shared" si="138"/>
        <v>0</v>
      </c>
      <c r="U51" s="43">
        <f t="shared" si="139"/>
        <v>0</v>
      </c>
      <c r="V51" s="43">
        <f t="shared" si="140"/>
        <v>0</v>
      </c>
      <c r="W51" s="37"/>
      <c r="X51" s="43">
        <f t="shared" si="141"/>
        <v>0</v>
      </c>
      <c r="Y51" s="43">
        <f t="shared" si="142"/>
        <v>0</v>
      </c>
      <c r="Z51" s="43">
        <f t="shared" si="143"/>
        <v>0</v>
      </c>
      <c r="AB51" s="43">
        <v>15</v>
      </c>
      <c r="AC51" s="43">
        <f>H51*0.0163260869565217</f>
        <v>0</v>
      </c>
      <c r="AD51" s="43">
        <f>H51*(1-0.0163260869565217)</f>
        <v>0</v>
      </c>
      <c r="AE51" s="45" t="s">
        <v>67</v>
      </c>
      <c r="AK51" s="43">
        <f t="shared" si="144"/>
        <v>0</v>
      </c>
      <c r="AL51" s="43">
        <f t="shared" si="145"/>
        <v>0</v>
      </c>
      <c r="AM51" s="45" t="s">
        <v>162</v>
      </c>
      <c r="AN51" s="45" t="s">
        <v>163</v>
      </c>
      <c r="AO51" s="37" t="s">
        <v>45</v>
      </c>
      <c r="AQ51" s="43">
        <f t="shared" si="146"/>
        <v>0</v>
      </c>
      <c r="AR51" s="43">
        <f t="shared" si="147"/>
        <v>0</v>
      </c>
      <c r="AS51" s="43">
        <v>0</v>
      </c>
      <c r="AT51" s="43" t="e">
        <f>#REF!</f>
        <v>#REF!</v>
      </c>
    </row>
    <row r="52" spans="1:46" ht="14.25">
      <c r="A52" s="42" t="s">
        <v>166</v>
      </c>
      <c r="B52" s="42"/>
      <c r="C52" s="42" t="s">
        <v>167</v>
      </c>
      <c r="D52" s="31"/>
      <c r="E52" s="42" t="s">
        <v>168</v>
      </c>
      <c r="F52" s="42" t="s">
        <v>64</v>
      </c>
      <c r="G52" s="43">
        <v>262.9</v>
      </c>
      <c r="H52" s="44"/>
      <c r="I52" s="43">
        <f t="shared" si="130"/>
        <v>0</v>
      </c>
      <c r="J52" s="43">
        <f t="shared" si="131"/>
        <v>0</v>
      </c>
      <c r="K52" s="43">
        <f t="shared" si="132"/>
        <v>0</v>
      </c>
      <c r="N52" s="43">
        <f t="shared" si="133"/>
        <v>0</v>
      </c>
      <c r="P52" s="43">
        <f t="shared" si="134"/>
        <v>0</v>
      </c>
      <c r="Q52" s="43">
        <f t="shared" si="135"/>
        <v>0</v>
      </c>
      <c r="R52" s="43">
        <f t="shared" si="136"/>
        <v>0</v>
      </c>
      <c r="S52" s="43">
        <f t="shared" si="137"/>
        <v>0</v>
      </c>
      <c r="T52" s="43">
        <f t="shared" si="138"/>
        <v>0</v>
      </c>
      <c r="U52" s="43">
        <f t="shared" si="139"/>
        <v>0</v>
      </c>
      <c r="V52" s="43">
        <f t="shared" si="140"/>
        <v>0</v>
      </c>
      <c r="W52" s="37"/>
      <c r="X52" s="43">
        <f t="shared" si="141"/>
        <v>0</v>
      </c>
      <c r="Y52" s="43">
        <f t="shared" si="142"/>
        <v>0</v>
      </c>
      <c r="Z52" s="43">
        <f t="shared" si="143"/>
        <v>0</v>
      </c>
      <c r="AB52" s="43">
        <v>15</v>
      </c>
      <c r="AC52" s="43">
        <f>H52*0.470049302381285</f>
        <v>0</v>
      </c>
      <c r="AD52" s="43">
        <f>H52*(1-0.470049302381285)</f>
        <v>0</v>
      </c>
      <c r="AE52" s="45" t="s">
        <v>67</v>
      </c>
      <c r="AK52" s="43">
        <f t="shared" si="144"/>
        <v>0</v>
      </c>
      <c r="AL52" s="43">
        <f t="shared" si="145"/>
        <v>0</v>
      </c>
      <c r="AM52" s="45" t="s">
        <v>162</v>
      </c>
      <c r="AN52" s="45" t="s">
        <v>163</v>
      </c>
      <c r="AO52" s="37" t="s">
        <v>45</v>
      </c>
      <c r="AQ52" s="43">
        <f t="shared" si="146"/>
        <v>0</v>
      </c>
      <c r="AR52" s="43">
        <f t="shared" si="147"/>
        <v>0</v>
      </c>
      <c r="AS52" s="43">
        <v>0</v>
      </c>
      <c r="AT52" s="43" t="e">
        <f>#REF!</f>
        <v>#REF!</v>
      </c>
    </row>
    <row r="53" spans="1:46" ht="14.25">
      <c r="A53" s="42" t="s">
        <v>169</v>
      </c>
      <c r="B53" s="42"/>
      <c r="C53" s="42" t="s">
        <v>170</v>
      </c>
      <c r="D53" s="31"/>
      <c r="E53" s="42" t="s">
        <v>171</v>
      </c>
      <c r="F53" s="42" t="s">
        <v>42</v>
      </c>
      <c r="G53" s="43">
        <v>171.52</v>
      </c>
      <c r="H53" s="44"/>
      <c r="I53" s="43">
        <f t="shared" si="130"/>
        <v>0</v>
      </c>
      <c r="J53" s="43">
        <f t="shared" si="131"/>
        <v>0</v>
      </c>
      <c r="K53" s="43">
        <f t="shared" si="132"/>
        <v>0</v>
      </c>
      <c r="N53" s="43">
        <f t="shared" si="133"/>
        <v>0</v>
      </c>
      <c r="P53" s="43">
        <f t="shared" si="134"/>
        <v>0</v>
      </c>
      <c r="Q53" s="43">
        <f t="shared" si="135"/>
        <v>0</v>
      </c>
      <c r="R53" s="43">
        <f t="shared" si="136"/>
        <v>0</v>
      </c>
      <c r="S53" s="43">
        <f t="shared" si="137"/>
        <v>0</v>
      </c>
      <c r="T53" s="43">
        <f t="shared" si="138"/>
        <v>0</v>
      </c>
      <c r="U53" s="43">
        <f t="shared" si="139"/>
        <v>0</v>
      </c>
      <c r="V53" s="43">
        <f t="shared" si="140"/>
        <v>0</v>
      </c>
      <c r="W53" s="37"/>
      <c r="X53" s="43">
        <f t="shared" si="141"/>
        <v>0</v>
      </c>
      <c r="Y53" s="43">
        <f t="shared" si="142"/>
        <v>0</v>
      </c>
      <c r="Z53" s="43">
        <f t="shared" si="143"/>
        <v>0</v>
      </c>
      <c r="AB53" s="43">
        <v>15</v>
      </c>
      <c r="AC53" s="43">
        <f>H53*0.415315421943425</f>
        <v>0</v>
      </c>
      <c r="AD53" s="43">
        <f>H53*(1-0.415315421943425)</f>
        <v>0</v>
      </c>
      <c r="AE53" s="45" t="s">
        <v>67</v>
      </c>
      <c r="AK53" s="43">
        <f t="shared" si="144"/>
        <v>0</v>
      </c>
      <c r="AL53" s="43">
        <f t="shared" si="145"/>
        <v>0</v>
      </c>
      <c r="AM53" s="45" t="s">
        <v>162</v>
      </c>
      <c r="AN53" s="45" t="s">
        <v>163</v>
      </c>
      <c r="AO53" s="37" t="s">
        <v>45</v>
      </c>
      <c r="AQ53" s="43">
        <f t="shared" si="146"/>
        <v>0</v>
      </c>
      <c r="AR53" s="43">
        <f t="shared" si="147"/>
        <v>0</v>
      </c>
      <c r="AS53" s="43">
        <v>0</v>
      </c>
      <c r="AT53" s="43" t="e">
        <f>#REF!</f>
        <v>#REF!</v>
      </c>
    </row>
    <row r="54" spans="1:35" ht="14.25">
      <c r="A54" s="46"/>
      <c r="B54" s="47"/>
      <c r="C54" s="47" t="s">
        <v>172</v>
      </c>
      <c r="D54" s="23"/>
      <c r="E54" s="47" t="s">
        <v>173</v>
      </c>
      <c r="F54" s="47"/>
      <c r="G54" s="47"/>
      <c r="H54" s="47"/>
      <c r="I54" s="41">
        <f>SUM(I55:I58)</f>
        <v>0</v>
      </c>
      <c r="J54" s="41">
        <f>SUM(J55:J58)</f>
        <v>0</v>
      </c>
      <c r="K54" s="41">
        <f>I54+J54</f>
        <v>0</v>
      </c>
      <c r="W54" s="37"/>
      <c r="AG54" s="41">
        <f>SUM(X55:X58)</f>
        <v>0</v>
      </c>
      <c r="AH54" s="41">
        <f>SUM(Y55:Y58)</f>
        <v>0</v>
      </c>
      <c r="AI54" s="41">
        <f>SUM(Z55:Z58)</f>
        <v>0</v>
      </c>
    </row>
    <row r="55" spans="1:46" ht="14.25">
      <c r="A55" s="42" t="s">
        <v>174</v>
      </c>
      <c r="B55" s="42"/>
      <c r="C55" s="42" t="s">
        <v>175</v>
      </c>
      <c r="D55" s="31"/>
      <c r="E55" s="42" t="s">
        <v>176</v>
      </c>
      <c r="F55" s="42" t="s">
        <v>64</v>
      </c>
      <c r="G55" s="43">
        <v>27</v>
      </c>
      <c r="H55" s="44"/>
      <c r="I55" s="43">
        <f aca="true" t="shared" si="148" ref="I55:I58">G55*AC55</f>
        <v>0</v>
      </c>
      <c r="J55" s="43">
        <f aca="true" t="shared" si="149" ref="J55:J58">K55-I55</f>
        <v>0</v>
      </c>
      <c r="K55" s="43">
        <f aca="true" t="shared" si="150" ref="K55:K58">G55*H55</f>
        <v>0</v>
      </c>
      <c r="N55" s="43">
        <f aca="true" t="shared" si="151" ref="N55:N58">IF(AE55="5",K55,0)</f>
        <v>0</v>
      </c>
      <c r="P55" s="43">
        <f aca="true" t="shared" si="152" ref="P55:P58">IF(AE55="1",I55,0)</f>
        <v>0</v>
      </c>
      <c r="Q55" s="43">
        <f aca="true" t="shared" si="153" ref="Q55:Q58">IF(AE55="1",J55,0)</f>
        <v>0</v>
      </c>
      <c r="R55" s="43">
        <f aca="true" t="shared" si="154" ref="R55:R58">IF(AE55="7",I55,0)</f>
        <v>0</v>
      </c>
      <c r="S55" s="43">
        <f aca="true" t="shared" si="155" ref="S55:S58">IF(AE55="7",J55,0)</f>
        <v>0</v>
      </c>
      <c r="T55" s="43">
        <f aca="true" t="shared" si="156" ref="T55:T58">IF(AE55="2",I55,0)</f>
        <v>0</v>
      </c>
      <c r="U55" s="43">
        <f aca="true" t="shared" si="157" ref="U55:U58">IF(AE55="2",J55,0)</f>
        <v>0</v>
      </c>
      <c r="V55" s="43">
        <f aca="true" t="shared" si="158" ref="V55:V58">IF(AE55="0",K55,0)</f>
        <v>0</v>
      </c>
      <c r="W55" s="37"/>
      <c r="X55" s="43">
        <f aca="true" t="shared" si="159" ref="X55:X58">IF(AB55=0,K55,0)</f>
        <v>0</v>
      </c>
      <c r="Y55" s="43">
        <f aca="true" t="shared" si="160" ref="Y55:Y58">IF(AB55=15,K55,0)</f>
        <v>0</v>
      </c>
      <c r="Z55" s="43">
        <f aca="true" t="shared" si="161" ref="Z55:Z58">IF(AB55=21,K55,0)</f>
        <v>0</v>
      </c>
      <c r="AB55" s="43">
        <v>15</v>
      </c>
      <c r="AC55" s="43">
        <f>H55*0.706804281345566</f>
        <v>0</v>
      </c>
      <c r="AD55" s="43">
        <f>H55*(1-0.706804281345566)</f>
        <v>0</v>
      </c>
      <c r="AE55" s="45" t="s">
        <v>67</v>
      </c>
      <c r="AK55" s="43">
        <f aca="true" t="shared" si="162" ref="AK55:AK58">G55*AC55</f>
        <v>0</v>
      </c>
      <c r="AL55" s="43">
        <f aca="true" t="shared" si="163" ref="AL55:AL58">G55*AD55</f>
        <v>0</v>
      </c>
      <c r="AM55" s="45" t="s">
        <v>177</v>
      </c>
      <c r="AN55" s="45" t="s">
        <v>163</v>
      </c>
      <c r="AO55" s="37" t="s">
        <v>45</v>
      </c>
      <c r="AQ55" s="43">
        <f aca="true" t="shared" si="164" ref="AQ55:AQ58">AK55+AL55</f>
        <v>0</v>
      </c>
      <c r="AR55" s="43">
        <f aca="true" t="shared" si="165" ref="AR55:AR58">H55/(100-AS55)*100</f>
        <v>0</v>
      </c>
      <c r="AS55" s="43">
        <v>0</v>
      </c>
      <c r="AT55" s="43" t="e">
        <f>#REF!</f>
        <v>#REF!</v>
      </c>
    </row>
    <row r="56" spans="1:46" ht="14.25">
      <c r="A56" s="42" t="s">
        <v>37</v>
      </c>
      <c r="B56" s="42"/>
      <c r="C56" s="42" t="s">
        <v>178</v>
      </c>
      <c r="D56" s="31"/>
      <c r="E56" s="42" t="s">
        <v>179</v>
      </c>
      <c r="F56" s="42" t="s">
        <v>42</v>
      </c>
      <c r="G56" s="43">
        <v>37.5</v>
      </c>
      <c r="H56" s="44"/>
      <c r="I56" s="43">
        <f t="shared" si="148"/>
        <v>0</v>
      </c>
      <c r="J56" s="43">
        <f t="shared" si="149"/>
        <v>0</v>
      </c>
      <c r="K56" s="43">
        <f t="shared" si="150"/>
        <v>0</v>
      </c>
      <c r="N56" s="43">
        <f t="shared" si="151"/>
        <v>0</v>
      </c>
      <c r="P56" s="43">
        <f t="shared" si="152"/>
        <v>0</v>
      </c>
      <c r="Q56" s="43">
        <f t="shared" si="153"/>
        <v>0</v>
      </c>
      <c r="R56" s="43">
        <f t="shared" si="154"/>
        <v>0</v>
      </c>
      <c r="S56" s="43">
        <f t="shared" si="155"/>
        <v>0</v>
      </c>
      <c r="T56" s="43">
        <f t="shared" si="156"/>
        <v>0</v>
      </c>
      <c r="U56" s="43">
        <f t="shared" si="157"/>
        <v>0</v>
      </c>
      <c r="V56" s="43">
        <f t="shared" si="158"/>
        <v>0</v>
      </c>
      <c r="W56" s="37"/>
      <c r="X56" s="43">
        <f t="shared" si="159"/>
        <v>0</v>
      </c>
      <c r="Y56" s="43">
        <f t="shared" si="160"/>
        <v>0</v>
      </c>
      <c r="Z56" s="43">
        <f t="shared" si="161"/>
        <v>0</v>
      </c>
      <c r="AB56" s="43">
        <v>15</v>
      </c>
      <c r="AC56" s="43">
        <f>H56*0.528925865619819</f>
        <v>0</v>
      </c>
      <c r="AD56" s="43">
        <f>H56*(1-0.528925865619819)</f>
        <v>0</v>
      </c>
      <c r="AE56" s="45" t="s">
        <v>67</v>
      </c>
      <c r="AK56" s="43">
        <f t="shared" si="162"/>
        <v>0</v>
      </c>
      <c r="AL56" s="43">
        <f t="shared" si="163"/>
        <v>0</v>
      </c>
      <c r="AM56" s="45" t="s">
        <v>177</v>
      </c>
      <c r="AN56" s="45" t="s">
        <v>163</v>
      </c>
      <c r="AO56" s="37" t="s">
        <v>45</v>
      </c>
      <c r="AQ56" s="43">
        <f t="shared" si="164"/>
        <v>0</v>
      </c>
      <c r="AR56" s="43">
        <f t="shared" si="165"/>
        <v>0</v>
      </c>
      <c r="AS56" s="43">
        <v>0</v>
      </c>
      <c r="AT56" s="43" t="e">
        <f>#REF!</f>
        <v>#REF!</v>
      </c>
    </row>
    <row r="57" spans="1:46" ht="14.25">
      <c r="A57" s="42" t="s">
        <v>180</v>
      </c>
      <c r="B57" s="42"/>
      <c r="C57" s="42" t="s">
        <v>181</v>
      </c>
      <c r="D57" s="31"/>
      <c r="E57" s="42" t="s">
        <v>182</v>
      </c>
      <c r="F57" s="42" t="s">
        <v>64</v>
      </c>
      <c r="G57" s="43">
        <v>15</v>
      </c>
      <c r="H57" s="44"/>
      <c r="I57" s="43">
        <f t="shared" si="148"/>
        <v>0</v>
      </c>
      <c r="J57" s="43">
        <f t="shared" si="149"/>
        <v>0</v>
      </c>
      <c r="K57" s="43">
        <f t="shared" si="150"/>
        <v>0</v>
      </c>
      <c r="N57" s="43">
        <f t="shared" si="151"/>
        <v>0</v>
      </c>
      <c r="P57" s="43">
        <f t="shared" si="152"/>
        <v>0</v>
      </c>
      <c r="Q57" s="43">
        <f t="shared" si="153"/>
        <v>0</v>
      </c>
      <c r="R57" s="43">
        <f t="shared" si="154"/>
        <v>0</v>
      </c>
      <c r="S57" s="43">
        <f t="shared" si="155"/>
        <v>0</v>
      </c>
      <c r="T57" s="43">
        <f t="shared" si="156"/>
        <v>0</v>
      </c>
      <c r="U57" s="43">
        <f t="shared" si="157"/>
        <v>0</v>
      </c>
      <c r="V57" s="43">
        <f t="shared" si="158"/>
        <v>0</v>
      </c>
      <c r="W57" s="37"/>
      <c r="X57" s="43">
        <f t="shared" si="159"/>
        <v>0</v>
      </c>
      <c r="Y57" s="43">
        <f t="shared" si="160"/>
        <v>0</v>
      </c>
      <c r="Z57" s="43">
        <f t="shared" si="161"/>
        <v>0</v>
      </c>
      <c r="AB57" s="43">
        <v>15</v>
      </c>
      <c r="AC57" s="43">
        <f>H57*0.375083443500569</f>
        <v>0</v>
      </c>
      <c r="AD57" s="43">
        <f>H57*(1-0.375083443500569)</f>
        <v>0</v>
      </c>
      <c r="AE57" s="45" t="s">
        <v>67</v>
      </c>
      <c r="AK57" s="43">
        <f t="shared" si="162"/>
        <v>0</v>
      </c>
      <c r="AL57" s="43">
        <f t="shared" si="163"/>
        <v>0</v>
      </c>
      <c r="AM57" s="45" t="s">
        <v>177</v>
      </c>
      <c r="AN57" s="45" t="s">
        <v>163</v>
      </c>
      <c r="AO57" s="37" t="s">
        <v>45</v>
      </c>
      <c r="AQ57" s="43">
        <f t="shared" si="164"/>
        <v>0</v>
      </c>
      <c r="AR57" s="43">
        <f t="shared" si="165"/>
        <v>0</v>
      </c>
      <c r="AS57" s="43">
        <v>0</v>
      </c>
      <c r="AT57" s="43" t="e">
        <f>#REF!</f>
        <v>#REF!</v>
      </c>
    </row>
    <row r="58" spans="1:46" ht="14.25">
      <c r="A58" s="42" t="s">
        <v>183</v>
      </c>
      <c r="B58" s="42"/>
      <c r="C58" s="42" t="s">
        <v>184</v>
      </c>
      <c r="D58" s="31"/>
      <c r="E58" s="42" t="s">
        <v>185</v>
      </c>
      <c r="F58" s="42" t="s">
        <v>64</v>
      </c>
      <c r="G58" s="43">
        <v>12</v>
      </c>
      <c r="H58" s="44"/>
      <c r="I58" s="43">
        <f t="shared" si="148"/>
        <v>0</v>
      </c>
      <c r="J58" s="43">
        <f t="shared" si="149"/>
        <v>0</v>
      </c>
      <c r="K58" s="43">
        <f t="shared" si="150"/>
        <v>0</v>
      </c>
      <c r="N58" s="43">
        <f t="shared" si="151"/>
        <v>0</v>
      </c>
      <c r="P58" s="43">
        <f t="shared" si="152"/>
        <v>0</v>
      </c>
      <c r="Q58" s="43">
        <f t="shared" si="153"/>
        <v>0</v>
      </c>
      <c r="R58" s="43">
        <f t="shared" si="154"/>
        <v>0</v>
      </c>
      <c r="S58" s="43">
        <f t="shared" si="155"/>
        <v>0</v>
      </c>
      <c r="T58" s="43">
        <f t="shared" si="156"/>
        <v>0</v>
      </c>
      <c r="U58" s="43">
        <f t="shared" si="157"/>
        <v>0</v>
      </c>
      <c r="V58" s="43">
        <f t="shared" si="158"/>
        <v>0</v>
      </c>
      <c r="W58" s="37"/>
      <c r="X58" s="43">
        <f t="shared" si="159"/>
        <v>0</v>
      </c>
      <c r="Y58" s="43">
        <f t="shared" si="160"/>
        <v>0</v>
      </c>
      <c r="Z58" s="43">
        <f t="shared" si="161"/>
        <v>0</v>
      </c>
      <c r="AB58" s="43">
        <v>15</v>
      </c>
      <c r="AC58" s="43">
        <f>H58*0.7014</f>
        <v>0</v>
      </c>
      <c r="AD58" s="43">
        <f>H58*(1-0.7014)</f>
        <v>0</v>
      </c>
      <c r="AE58" s="45" t="s">
        <v>67</v>
      </c>
      <c r="AK58" s="43">
        <f t="shared" si="162"/>
        <v>0</v>
      </c>
      <c r="AL58" s="43">
        <f t="shared" si="163"/>
        <v>0</v>
      </c>
      <c r="AM58" s="45" t="s">
        <v>177</v>
      </c>
      <c r="AN58" s="45" t="s">
        <v>163</v>
      </c>
      <c r="AO58" s="37" t="s">
        <v>45</v>
      </c>
      <c r="AQ58" s="43">
        <f t="shared" si="164"/>
        <v>0</v>
      </c>
      <c r="AR58" s="43">
        <f t="shared" si="165"/>
        <v>0</v>
      </c>
      <c r="AS58" s="43">
        <v>0</v>
      </c>
      <c r="AT58" s="43" t="e">
        <f>#REF!</f>
        <v>#REF!</v>
      </c>
    </row>
    <row r="59" spans="1:35" ht="14.25">
      <c r="A59" s="46"/>
      <c r="B59" s="47"/>
      <c r="C59" s="47" t="s">
        <v>186</v>
      </c>
      <c r="D59" s="23"/>
      <c r="E59" s="47" t="s">
        <v>187</v>
      </c>
      <c r="F59" s="47"/>
      <c r="G59" s="47"/>
      <c r="H59" s="47"/>
      <c r="I59" s="41">
        <f>SUM(I60:I60)</f>
        <v>0</v>
      </c>
      <c r="J59" s="41">
        <f>SUM(J60:J60)</f>
        <v>0</v>
      </c>
      <c r="K59" s="41">
        <f>I59+J59</f>
        <v>0</v>
      </c>
      <c r="W59" s="37"/>
      <c r="AG59" s="41">
        <f>SUM(X60:X60)</f>
        <v>0</v>
      </c>
      <c r="AH59" s="41">
        <f>SUM(Y60:Y60)</f>
        <v>0</v>
      </c>
      <c r="AI59" s="41">
        <f>SUM(Z60:Z60)</f>
        <v>0</v>
      </c>
    </row>
    <row r="60" spans="1:46" ht="14.25">
      <c r="A60" s="42" t="s">
        <v>46</v>
      </c>
      <c r="B60" s="42"/>
      <c r="C60" s="42" t="s">
        <v>188</v>
      </c>
      <c r="D60" s="31"/>
      <c r="E60" s="42" t="s">
        <v>189</v>
      </c>
      <c r="F60" s="42" t="s">
        <v>42</v>
      </c>
      <c r="G60" s="43">
        <v>131.5</v>
      </c>
      <c r="H60" s="44"/>
      <c r="I60" s="43">
        <f>G60*AC60</f>
        <v>0</v>
      </c>
      <c r="J60" s="43">
        <f>K60-I60</f>
        <v>0</v>
      </c>
      <c r="K60" s="43">
        <f>G60*H60</f>
        <v>0</v>
      </c>
      <c r="N60" s="43">
        <f>IF(AE60="5",K60,0)</f>
        <v>0</v>
      </c>
      <c r="P60" s="43">
        <f>IF(AE60="1",I60,0)</f>
        <v>0</v>
      </c>
      <c r="Q60" s="43">
        <f>IF(AE60="1",J60,0)</f>
        <v>0</v>
      </c>
      <c r="R60" s="43">
        <f>IF(AE60="7",I60,0)</f>
        <v>0</v>
      </c>
      <c r="S60" s="43">
        <f>IF(AE60="7",J60,0)</f>
        <v>0</v>
      </c>
      <c r="T60" s="43">
        <f>IF(AE60="2",I60,0)</f>
        <v>0</v>
      </c>
      <c r="U60" s="43">
        <f>IF(AE60="2",J60,0)</f>
        <v>0</v>
      </c>
      <c r="V60" s="43">
        <f>IF(AE60="0",K60,0)</f>
        <v>0</v>
      </c>
      <c r="W60" s="37"/>
      <c r="X60" s="43">
        <f>IF(AB60=0,K60,0)</f>
        <v>0</v>
      </c>
      <c r="Y60" s="43">
        <f>IF(AB60=15,K60,0)</f>
        <v>0</v>
      </c>
      <c r="Z60" s="43">
        <f>IF(AB60=21,K60,0)</f>
        <v>0</v>
      </c>
      <c r="AB60" s="43">
        <v>15</v>
      </c>
      <c r="AC60" s="43">
        <f>H60*0.739216417910448</f>
        <v>0</v>
      </c>
      <c r="AD60" s="43">
        <f>H60*(1-0.739216417910448)</f>
        <v>0</v>
      </c>
      <c r="AE60" s="45" t="s">
        <v>67</v>
      </c>
      <c r="AK60" s="43">
        <f>G60*AC60</f>
        <v>0</v>
      </c>
      <c r="AL60" s="43">
        <f>G60*AD60</f>
        <v>0</v>
      </c>
      <c r="AM60" s="45" t="s">
        <v>190</v>
      </c>
      <c r="AN60" s="45" t="s">
        <v>163</v>
      </c>
      <c r="AO60" s="37" t="s">
        <v>45</v>
      </c>
      <c r="AQ60" s="43">
        <f>AK60+AL60</f>
        <v>0</v>
      </c>
      <c r="AR60" s="43">
        <f>H60/(100-AS60)*100</f>
        <v>0</v>
      </c>
      <c r="AS60" s="43">
        <v>0</v>
      </c>
      <c r="AT60" s="43" t="e">
        <f>#REF!</f>
        <v>#REF!</v>
      </c>
    </row>
    <row r="61" spans="1:35" ht="14.25">
      <c r="A61" s="46"/>
      <c r="B61" s="47"/>
      <c r="C61" s="47" t="s">
        <v>191</v>
      </c>
      <c r="D61" s="23"/>
      <c r="E61" s="47" t="s">
        <v>192</v>
      </c>
      <c r="F61" s="47"/>
      <c r="G61" s="47"/>
      <c r="H61" s="47"/>
      <c r="I61" s="41">
        <f>SUM(I62:I62)</f>
        <v>0</v>
      </c>
      <c r="J61" s="41">
        <f>SUM(J62:J62)</f>
        <v>0</v>
      </c>
      <c r="K61" s="41">
        <f>I61+J61</f>
        <v>0</v>
      </c>
      <c r="W61" s="37"/>
      <c r="AG61" s="41">
        <f>SUM(X62:X62)</f>
        <v>0</v>
      </c>
      <c r="AH61" s="41">
        <f>SUM(Y62:Y62)</f>
        <v>0</v>
      </c>
      <c r="AI61" s="41">
        <f>SUM(Z62:Z62)</f>
        <v>0</v>
      </c>
    </row>
    <row r="62" spans="1:46" ht="14.25">
      <c r="A62" s="42" t="s">
        <v>193</v>
      </c>
      <c r="B62" s="42"/>
      <c r="C62" s="42" t="s">
        <v>194</v>
      </c>
      <c r="D62" s="31"/>
      <c r="E62" s="42" t="s">
        <v>195</v>
      </c>
      <c r="F62" s="42" t="s">
        <v>42</v>
      </c>
      <c r="G62" s="43">
        <v>29</v>
      </c>
      <c r="H62" s="44"/>
      <c r="I62" s="43">
        <f>G62*AC62</f>
        <v>0</v>
      </c>
      <c r="J62" s="43">
        <f>K62-I62</f>
        <v>0</v>
      </c>
      <c r="K62" s="43">
        <f>G62*H62</f>
        <v>0</v>
      </c>
      <c r="N62" s="43">
        <f>IF(AE62="5",K62,0)</f>
        <v>0</v>
      </c>
      <c r="P62" s="43">
        <f>IF(AE62="1",I62,0)</f>
        <v>0</v>
      </c>
      <c r="Q62" s="43">
        <f>IF(AE62="1",J62,0)</f>
        <v>0</v>
      </c>
      <c r="R62" s="43">
        <f>IF(AE62="7",I62,0)</f>
        <v>0</v>
      </c>
      <c r="S62" s="43">
        <f>IF(AE62="7",J62,0)</f>
        <v>0</v>
      </c>
      <c r="T62" s="43">
        <f>IF(AE62="2",I62,0)</f>
        <v>0</v>
      </c>
      <c r="U62" s="43">
        <f>IF(AE62="2",J62,0)</f>
        <v>0</v>
      </c>
      <c r="V62" s="43">
        <f>IF(AE62="0",K62,0)</f>
        <v>0</v>
      </c>
      <c r="W62" s="37"/>
      <c r="X62" s="43">
        <f>IF(AB62=0,K62,0)</f>
        <v>0</v>
      </c>
      <c r="Y62" s="43">
        <f>IF(AB62=15,K62,0)</f>
        <v>0</v>
      </c>
      <c r="Z62" s="43">
        <f>IF(AB62=21,K62,0)</f>
        <v>0</v>
      </c>
      <c r="AB62" s="43">
        <v>15</v>
      </c>
      <c r="AC62" s="43">
        <f>H62*0.316553846153846</f>
        <v>0</v>
      </c>
      <c r="AD62" s="43">
        <f>H62*(1-0.316553846153846)</f>
        <v>0</v>
      </c>
      <c r="AE62" s="45" t="s">
        <v>67</v>
      </c>
      <c r="AK62" s="43">
        <f>G62*AC62</f>
        <v>0</v>
      </c>
      <c r="AL62" s="43">
        <f>G62*AD62</f>
        <v>0</v>
      </c>
      <c r="AM62" s="45" t="s">
        <v>196</v>
      </c>
      <c r="AN62" s="45" t="s">
        <v>197</v>
      </c>
      <c r="AO62" s="37" t="s">
        <v>45</v>
      </c>
      <c r="AQ62" s="43">
        <f>AK62+AL62</f>
        <v>0</v>
      </c>
      <c r="AR62" s="43">
        <f>H62/(100-AS62)*100</f>
        <v>0</v>
      </c>
      <c r="AS62" s="43">
        <v>0</v>
      </c>
      <c r="AT62" s="43" t="e">
        <f>#REF!</f>
        <v>#REF!</v>
      </c>
    </row>
    <row r="63" spans="1:35" ht="14.25">
      <c r="A63" s="46"/>
      <c r="B63" s="47"/>
      <c r="C63" s="47" t="s">
        <v>198</v>
      </c>
      <c r="D63" s="23"/>
      <c r="E63" s="47" t="s">
        <v>199</v>
      </c>
      <c r="F63" s="47"/>
      <c r="G63" s="47"/>
      <c r="H63" s="47"/>
      <c r="I63" s="41">
        <f>SUM(I64:I64)</f>
        <v>0</v>
      </c>
      <c r="J63" s="41">
        <f>SUM(J64:J64)</f>
        <v>0</v>
      </c>
      <c r="K63" s="41">
        <f>I63+J63</f>
        <v>0</v>
      </c>
      <c r="W63" s="37"/>
      <c r="AG63" s="41">
        <f>SUM(X64:X64)</f>
        <v>0</v>
      </c>
      <c r="AH63" s="41">
        <f>SUM(Y64:Y64)</f>
        <v>0</v>
      </c>
      <c r="AI63" s="41">
        <f>SUM(Z64:Z64)</f>
        <v>0</v>
      </c>
    </row>
    <row r="64" spans="1:46" ht="14.25">
      <c r="A64" s="42" t="s">
        <v>200</v>
      </c>
      <c r="B64" s="42"/>
      <c r="C64" s="42" t="s">
        <v>201</v>
      </c>
      <c r="D64" s="31"/>
      <c r="E64" s="42" t="s">
        <v>202</v>
      </c>
      <c r="F64" s="42" t="s">
        <v>42</v>
      </c>
      <c r="G64" s="43">
        <v>63</v>
      </c>
      <c r="H64" s="44"/>
      <c r="I64" s="43">
        <f>G64*AC64</f>
        <v>0</v>
      </c>
      <c r="J64" s="43">
        <f>K64-I64</f>
        <v>0</v>
      </c>
      <c r="K64" s="43">
        <f>G64*H64</f>
        <v>0</v>
      </c>
      <c r="N64" s="43">
        <f>IF(AE64="5",K64,0)</f>
        <v>0</v>
      </c>
      <c r="P64" s="43">
        <f>IF(AE64="1",I64,0)</f>
        <v>0</v>
      </c>
      <c r="Q64" s="43">
        <f>IF(AE64="1",J64,0)</f>
        <v>0</v>
      </c>
      <c r="R64" s="43">
        <f>IF(AE64="7",I64,0)</f>
        <v>0</v>
      </c>
      <c r="S64" s="43">
        <f>IF(AE64="7",J64,0)</f>
        <v>0</v>
      </c>
      <c r="T64" s="43">
        <f>IF(AE64="2",I64,0)</f>
        <v>0</v>
      </c>
      <c r="U64" s="43">
        <f>IF(AE64="2",J64,0)</f>
        <v>0</v>
      </c>
      <c r="V64" s="43">
        <f>IF(AE64="0",K64,0)</f>
        <v>0</v>
      </c>
      <c r="W64" s="37"/>
      <c r="X64" s="43">
        <f>IF(AB64=0,K64,0)</f>
        <v>0</v>
      </c>
      <c r="Y64" s="43">
        <f>IF(AB64=15,K64,0)</f>
        <v>0</v>
      </c>
      <c r="Z64" s="43">
        <f>IF(AB64=21,K64,0)</f>
        <v>0</v>
      </c>
      <c r="AB64" s="43">
        <v>15</v>
      </c>
      <c r="AC64" s="43">
        <f>H64*0.112088285229202</f>
        <v>0</v>
      </c>
      <c r="AD64" s="43">
        <f>H64*(1-0.112088285229202)</f>
        <v>0</v>
      </c>
      <c r="AE64" s="45" t="s">
        <v>67</v>
      </c>
      <c r="AK64" s="43">
        <f>G64*AC64</f>
        <v>0</v>
      </c>
      <c r="AL64" s="43">
        <f>G64*AD64</f>
        <v>0</v>
      </c>
      <c r="AM64" s="45" t="s">
        <v>203</v>
      </c>
      <c r="AN64" s="45" t="s">
        <v>197</v>
      </c>
      <c r="AO64" s="37" t="s">
        <v>45</v>
      </c>
      <c r="AQ64" s="43">
        <f>AK64+AL64</f>
        <v>0</v>
      </c>
      <c r="AR64" s="43">
        <f>H64/(100-AS64)*100</f>
        <v>0</v>
      </c>
      <c r="AS64" s="43">
        <v>0</v>
      </c>
      <c r="AT64" s="43" t="e">
        <f>#REF!</f>
        <v>#REF!</v>
      </c>
    </row>
    <row r="65" spans="1:35" ht="14.25">
      <c r="A65" s="46"/>
      <c r="B65" s="47"/>
      <c r="C65" s="47" t="s">
        <v>204</v>
      </c>
      <c r="D65" s="23"/>
      <c r="E65" s="47" t="s">
        <v>205</v>
      </c>
      <c r="F65" s="47"/>
      <c r="G65" s="47"/>
      <c r="H65" s="47"/>
      <c r="I65" s="41">
        <f>SUM(I66:I66)</f>
        <v>0</v>
      </c>
      <c r="J65" s="41">
        <f>SUM(J66:J66)</f>
        <v>0</v>
      </c>
      <c r="K65" s="41">
        <f>I65+J65</f>
        <v>0</v>
      </c>
      <c r="W65" s="37"/>
      <c r="AG65" s="41">
        <f>SUM(X66:X66)</f>
        <v>0</v>
      </c>
      <c r="AH65" s="41">
        <f>SUM(Y66:Y66)</f>
        <v>0</v>
      </c>
      <c r="AI65" s="41">
        <f>SUM(Z66:Z66)</f>
        <v>0</v>
      </c>
    </row>
    <row r="66" spans="1:46" ht="14.25">
      <c r="A66" s="42" t="s">
        <v>206</v>
      </c>
      <c r="B66" s="42"/>
      <c r="C66" s="42" t="s">
        <v>207</v>
      </c>
      <c r="D66" s="31"/>
      <c r="E66" s="42" t="s">
        <v>208</v>
      </c>
      <c r="F66" s="42" t="s">
        <v>42</v>
      </c>
      <c r="G66" s="43">
        <v>38.4</v>
      </c>
      <c r="H66" s="44"/>
      <c r="I66" s="43">
        <f>G66*AC66</f>
        <v>0</v>
      </c>
      <c r="J66" s="43">
        <f>K66-I66</f>
        <v>0</v>
      </c>
      <c r="K66" s="43">
        <f>G66*H66</f>
        <v>0</v>
      </c>
      <c r="N66" s="43">
        <f>IF(AE66="5",K66,0)</f>
        <v>0</v>
      </c>
      <c r="P66" s="43">
        <f>IF(AE66="1",I66,0)</f>
        <v>0</v>
      </c>
      <c r="Q66" s="43">
        <f>IF(AE66="1",J66,0)</f>
        <v>0</v>
      </c>
      <c r="R66" s="43">
        <f>IF(AE66="7",I66,0)</f>
        <v>0</v>
      </c>
      <c r="S66" s="43">
        <f>IF(AE66="7",J66,0)</f>
        <v>0</v>
      </c>
      <c r="T66" s="43">
        <f>IF(AE66="2",I66,0)</f>
        <v>0</v>
      </c>
      <c r="U66" s="43">
        <f>IF(AE66="2",J66,0)</f>
        <v>0</v>
      </c>
      <c r="V66" s="43">
        <f>IF(AE66="0",K66,0)</f>
        <v>0</v>
      </c>
      <c r="W66" s="37"/>
      <c r="X66" s="43">
        <f>IF(AB66=0,K66,0)</f>
        <v>0</v>
      </c>
      <c r="Y66" s="43">
        <f>IF(AB66=15,K66,0)</f>
        <v>0</v>
      </c>
      <c r="Z66" s="43">
        <f>IF(AB66=21,K66,0)</f>
        <v>0</v>
      </c>
      <c r="AB66" s="43">
        <v>15</v>
      </c>
      <c r="AC66" s="43">
        <f>H66*0</f>
        <v>0</v>
      </c>
      <c r="AD66" s="43">
        <f>H66*(1-0)</f>
        <v>0</v>
      </c>
      <c r="AE66" s="45" t="s">
        <v>67</v>
      </c>
      <c r="AK66" s="43">
        <f>G66*AC66</f>
        <v>0</v>
      </c>
      <c r="AL66" s="43">
        <f>G66*AD66</f>
        <v>0</v>
      </c>
      <c r="AM66" s="45" t="s">
        <v>209</v>
      </c>
      <c r="AN66" s="45" t="s">
        <v>210</v>
      </c>
      <c r="AO66" s="37" t="s">
        <v>45</v>
      </c>
      <c r="AQ66" s="43">
        <f>AK66+AL66</f>
        <v>0</v>
      </c>
      <c r="AR66" s="43">
        <f>H66/(100-AS66)*100</f>
        <v>0</v>
      </c>
      <c r="AS66" s="43">
        <v>0</v>
      </c>
      <c r="AT66" s="43" t="e">
        <f>#REF!</f>
        <v>#REF!</v>
      </c>
    </row>
    <row r="67" spans="1:35" ht="14.25">
      <c r="A67" s="46"/>
      <c r="B67" s="47"/>
      <c r="C67" s="47" t="s">
        <v>211</v>
      </c>
      <c r="D67" s="23"/>
      <c r="E67" s="47" t="s">
        <v>212</v>
      </c>
      <c r="F67" s="47"/>
      <c r="G67" s="47"/>
      <c r="H67" s="47"/>
      <c r="I67" s="41">
        <f>SUM(I68:I68)</f>
        <v>0</v>
      </c>
      <c r="J67" s="41">
        <f>SUM(J68:J68)</f>
        <v>0</v>
      </c>
      <c r="K67" s="41">
        <f>I67+J67</f>
        <v>0</v>
      </c>
      <c r="W67" s="37"/>
      <c r="AG67" s="41">
        <f>SUM(X68:X68)</f>
        <v>0</v>
      </c>
      <c r="AH67" s="41">
        <f>SUM(Y68:Y68)</f>
        <v>0</v>
      </c>
      <c r="AI67" s="41">
        <f>SUM(Z68:Z68)</f>
        <v>0</v>
      </c>
    </row>
    <row r="68" spans="1:46" ht="14.25">
      <c r="A68" s="42" t="s">
        <v>213</v>
      </c>
      <c r="B68" s="42"/>
      <c r="C68" s="42" t="s">
        <v>214</v>
      </c>
      <c r="D68" s="31"/>
      <c r="E68" s="42" t="s">
        <v>215</v>
      </c>
      <c r="F68" s="42" t="s">
        <v>42</v>
      </c>
      <c r="G68" s="43">
        <v>395</v>
      </c>
      <c r="H68" s="44"/>
      <c r="I68" s="43">
        <f>G68*AC68</f>
        <v>0</v>
      </c>
      <c r="J68" s="43">
        <f>K68-I68</f>
        <v>0</v>
      </c>
      <c r="K68" s="43">
        <f>G68*H68</f>
        <v>0</v>
      </c>
      <c r="N68" s="43">
        <f>IF(AE68="5",K68,0)</f>
        <v>0</v>
      </c>
      <c r="P68" s="43">
        <f>IF(AE68="1",I68,0)</f>
        <v>0</v>
      </c>
      <c r="Q68" s="43">
        <f>IF(AE68="1",J68,0)</f>
        <v>0</v>
      </c>
      <c r="R68" s="43">
        <f>IF(AE68="7",I68,0)</f>
        <v>0</v>
      </c>
      <c r="S68" s="43">
        <f>IF(AE68="7",J68,0)</f>
        <v>0</v>
      </c>
      <c r="T68" s="43">
        <f>IF(AE68="2",I68,0)</f>
        <v>0</v>
      </c>
      <c r="U68" s="43">
        <f>IF(AE68="2",J68,0)</f>
        <v>0</v>
      </c>
      <c r="V68" s="43">
        <f>IF(AE68="0",K68,0)</f>
        <v>0</v>
      </c>
      <c r="W68" s="37"/>
      <c r="X68" s="43">
        <f>IF(AB68=0,K68,0)</f>
        <v>0</v>
      </c>
      <c r="Y68" s="43">
        <f>IF(AB68=15,K68,0)</f>
        <v>0</v>
      </c>
      <c r="Z68" s="43">
        <f>IF(AB68=21,K68,0)</f>
        <v>0</v>
      </c>
      <c r="AB68" s="43">
        <v>15</v>
      </c>
      <c r="AC68" s="43">
        <f>H68*0.22589202812044</f>
        <v>0</v>
      </c>
      <c r="AD68" s="43">
        <f>H68*(1-0.22589202812044)</f>
        <v>0</v>
      </c>
      <c r="AE68" s="45" t="s">
        <v>67</v>
      </c>
      <c r="AK68" s="43">
        <f>G68*AC68</f>
        <v>0</v>
      </c>
      <c r="AL68" s="43">
        <f>G68*AD68</f>
        <v>0</v>
      </c>
      <c r="AM68" s="45" t="s">
        <v>216</v>
      </c>
      <c r="AN68" s="45" t="s">
        <v>210</v>
      </c>
      <c r="AO68" s="37" t="s">
        <v>45</v>
      </c>
      <c r="AQ68" s="43">
        <f>AK68+AL68</f>
        <v>0</v>
      </c>
      <c r="AR68" s="43">
        <f>H68/(100-AS68)*100</f>
        <v>0</v>
      </c>
      <c r="AS68" s="43">
        <v>0</v>
      </c>
      <c r="AT68" s="43" t="e">
        <f>#REF!</f>
        <v>#REF!</v>
      </c>
    </row>
    <row r="69" spans="1:35" ht="14.25">
      <c r="A69" s="46"/>
      <c r="B69" s="47"/>
      <c r="C69" s="47" t="s">
        <v>217</v>
      </c>
      <c r="D69" s="23"/>
      <c r="E69" s="47" t="s">
        <v>218</v>
      </c>
      <c r="F69" s="47"/>
      <c r="G69" s="47"/>
      <c r="H69" s="47"/>
      <c r="I69" s="41">
        <f>SUM(I70:I70)</f>
        <v>0</v>
      </c>
      <c r="J69" s="41">
        <f>SUM(J70:J70)</f>
        <v>0</v>
      </c>
      <c r="K69" s="41">
        <f>I69+J69</f>
        <v>0</v>
      </c>
      <c r="W69" s="37"/>
      <c r="AG69" s="41">
        <f>SUM(X70:X70)</f>
        <v>0</v>
      </c>
      <c r="AH69" s="41">
        <f>SUM(Y70:Y70)</f>
        <v>0</v>
      </c>
      <c r="AI69" s="41">
        <f>SUM(Z70:Z70)</f>
        <v>0</v>
      </c>
    </row>
    <row r="70" spans="1:46" ht="14.25">
      <c r="A70" s="42" t="s">
        <v>219</v>
      </c>
      <c r="B70" s="42"/>
      <c r="C70" s="42" t="s">
        <v>220</v>
      </c>
      <c r="D70" s="31"/>
      <c r="E70" s="42" t="s">
        <v>221</v>
      </c>
      <c r="F70" s="42" t="s">
        <v>42</v>
      </c>
      <c r="G70" s="43">
        <v>546</v>
      </c>
      <c r="H70" s="44"/>
      <c r="I70" s="43">
        <f>G70*AC70</f>
        <v>0</v>
      </c>
      <c r="J70" s="43">
        <f>K70-I70</f>
        <v>0</v>
      </c>
      <c r="K70" s="43">
        <f>G70*H70</f>
        <v>0</v>
      </c>
      <c r="N70" s="43">
        <f>IF(AE70="5",K70,0)</f>
        <v>0</v>
      </c>
      <c r="P70" s="43">
        <f>IF(AE70="1",I70,0)</f>
        <v>0</v>
      </c>
      <c r="Q70" s="43">
        <f>IF(AE70="1",J70,0)</f>
        <v>0</v>
      </c>
      <c r="R70" s="43">
        <f>IF(AE70="7",I70,0)</f>
        <v>0</v>
      </c>
      <c r="S70" s="43">
        <f>IF(AE70="7",J70,0)</f>
        <v>0</v>
      </c>
      <c r="T70" s="43">
        <f>IF(AE70="2",I70,0)</f>
        <v>0</v>
      </c>
      <c r="U70" s="43">
        <f>IF(AE70="2",J70,0)</f>
        <v>0</v>
      </c>
      <c r="V70" s="43">
        <f>IF(AE70="0",K70,0)</f>
        <v>0</v>
      </c>
      <c r="W70" s="37"/>
      <c r="X70" s="43">
        <f>IF(AB70=0,K70,0)</f>
        <v>0</v>
      </c>
      <c r="Y70" s="43">
        <f>IF(AB70=15,K70,0)</f>
        <v>0</v>
      </c>
      <c r="Z70" s="43">
        <f>IF(AB70=21,K70,0)</f>
        <v>0</v>
      </c>
      <c r="AB70" s="43">
        <v>15</v>
      </c>
      <c r="AC70" s="43">
        <f>H70*0.509043156449591</f>
        <v>0</v>
      </c>
      <c r="AD70" s="43">
        <f>H70*(1-0.509043156449591)</f>
        <v>0</v>
      </c>
      <c r="AE70" s="45" t="s">
        <v>39</v>
      </c>
      <c r="AK70" s="43">
        <f>G70*AC70</f>
        <v>0</v>
      </c>
      <c r="AL70" s="43">
        <f>G70*AD70</f>
        <v>0</v>
      </c>
      <c r="AM70" s="45" t="s">
        <v>222</v>
      </c>
      <c r="AN70" s="45" t="s">
        <v>223</v>
      </c>
      <c r="AO70" s="37" t="s">
        <v>45</v>
      </c>
      <c r="AQ70" s="43">
        <f>AK70+AL70</f>
        <v>0</v>
      </c>
      <c r="AR70" s="43">
        <f>H70/(100-AS70)*100</f>
        <v>0</v>
      </c>
      <c r="AS70" s="43">
        <v>0</v>
      </c>
      <c r="AT70" s="43" t="e">
        <f>#REF!</f>
        <v>#REF!</v>
      </c>
    </row>
    <row r="71" spans="1:35" ht="14.25">
      <c r="A71" s="46"/>
      <c r="B71" s="47"/>
      <c r="C71" s="47" t="s">
        <v>224</v>
      </c>
      <c r="D71" s="23"/>
      <c r="E71" s="47" t="s">
        <v>225</v>
      </c>
      <c r="F71" s="47"/>
      <c r="G71" s="47"/>
      <c r="H71" s="47"/>
      <c r="I71" s="41">
        <f>SUM(I72:I77)</f>
        <v>0</v>
      </c>
      <c r="J71" s="41">
        <f>SUM(J72:J77)</f>
        <v>0</v>
      </c>
      <c r="K71" s="41">
        <f>I71+J71</f>
        <v>0</v>
      </c>
      <c r="W71" s="37"/>
      <c r="AG71" s="41">
        <f>SUM(X72:X77)</f>
        <v>0</v>
      </c>
      <c r="AH71" s="41">
        <f>SUM(Y72:Y77)</f>
        <v>0</v>
      </c>
      <c r="AI71" s="41">
        <f>SUM(Z72:Z77)</f>
        <v>0</v>
      </c>
    </row>
    <row r="72" spans="1:46" ht="14.25">
      <c r="A72" s="42" t="s">
        <v>226</v>
      </c>
      <c r="B72" s="42"/>
      <c r="C72" s="42" t="s">
        <v>227</v>
      </c>
      <c r="D72" s="31"/>
      <c r="E72" s="42" t="s">
        <v>228</v>
      </c>
      <c r="F72" s="42" t="s">
        <v>105</v>
      </c>
      <c r="G72" s="43">
        <v>1</v>
      </c>
      <c r="H72" s="44"/>
      <c r="I72" s="43">
        <f aca="true" t="shared" si="166" ref="I72:I77">G72*AC72</f>
        <v>0</v>
      </c>
      <c r="J72" s="43">
        <f aca="true" t="shared" si="167" ref="J72:J77">K72-I72</f>
        <v>0</v>
      </c>
      <c r="K72" s="43">
        <f aca="true" t="shared" si="168" ref="K72:K77">G72*H72</f>
        <v>0</v>
      </c>
      <c r="N72" s="43">
        <f aca="true" t="shared" si="169" ref="N72:N77">IF(AE72="5",K72,0)</f>
        <v>0</v>
      </c>
      <c r="P72" s="43">
        <f aca="true" t="shared" si="170" ref="P72:P77">IF(AE72="1",I72,0)</f>
        <v>0</v>
      </c>
      <c r="Q72" s="43">
        <f aca="true" t="shared" si="171" ref="Q72:Q77">IF(AE72="1",J72,0)</f>
        <v>0</v>
      </c>
      <c r="R72" s="43">
        <f aca="true" t="shared" si="172" ref="R72:R77">IF(AE72="7",I72,0)</f>
        <v>0</v>
      </c>
      <c r="S72" s="43">
        <f aca="true" t="shared" si="173" ref="S72:S77">IF(AE72="7",J72,0)</f>
        <v>0</v>
      </c>
      <c r="T72" s="43">
        <f aca="true" t="shared" si="174" ref="T72:T77">IF(AE72="2",I72,0)</f>
        <v>0</v>
      </c>
      <c r="U72" s="43">
        <f aca="true" t="shared" si="175" ref="U72:U77">IF(AE72="2",J72,0)</f>
        <v>0</v>
      </c>
      <c r="V72" s="43">
        <f aca="true" t="shared" si="176" ref="V72:V77">IF(AE72="0",K72,0)</f>
        <v>0</v>
      </c>
      <c r="W72" s="37"/>
      <c r="X72" s="43">
        <f aca="true" t="shared" si="177" ref="X72:X77">IF(AB72=0,K72,0)</f>
        <v>0</v>
      </c>
      <c r="Y72" s="43">
        <f aca="true" t="shared" si="178" ref="Y72:Y77">IF(AB72=15,K72,0)</f>
        <v>0</v>
      </c>
      <c r="Z72" s="43">
        <f aca="true" t="shared" si="179" ref="Z72:Z77">IF(AB72=21,K72,0)</f>
        <v>0</v>
      </c>
      <c r="AB72" s="43">
        <v>15</v>
      </c>
      <c r="AC72" s="43">
        <f>H72*0</f>
        <v>0</v>
      </c>
      <c r="AD72" s="43">
        <f>H72*(1-0)</f>
        <v>0</v>
      </c>
      <c r="AE72" s="45" t="s">
        <v>39</v>
      </c>
      <c r="AK72" s="43">
        <f aca="true" t="shared" si="180" ref="AK72:AK77">G72*AC72</f>
        <v>0</v>
      </c>
      <c r="AL72" s="43">
        <f aca="true" t="shared" si="181" ref="AL72:AL77">G72*AD72</f>
        <v>0</v>
      </c>
      <c r="AM72" s="45" t="s">
        <v>229</v>
      </c>
      <c r="AN72" s="45" t="s">
        <v>223</v>
      </c>
      <c r="AO72" s="37" t="s">
        <v>45</v>
      </c>
      <c r="AQ72" s="43">
        <f aca="true" t="shared" si="182" ref="AQ72:AQ77">AK72+AL72</f>
        <v>0</v>
      </c>
      <c r="AR72" s="43">
        <f aca="true" t="shared" si="183" ref="AR72:AR77">H72/(100-AS72)*100</f>
        <v>0</v>
      </c>
      <c r="AS72" s="43">
        <v>0</v>
      </c>
      <c r="AT72" s="43" t="e">
        <f>#REF!</f>
        <v>#REF!</v>
      </c>
    </row>
    <row r="73" spans="1:46" ht="14.25">
      <c r="A73" s="42" t="s">
        <v>59</v>
      </c>
      <c r="B73" s="42"/>
      <c r="C73" s="42" t="s">
        <v>230</v>
      </c>
      <c r="D73" s="31"/>
      <c r="E73" s="42" t="s">
        <v>231</v>
      </c>
      <c r="F73" s="42" t="s">
        <v>105</v>
      </c>
      <c r="G73" s="43">
        <v>1</v>
      </c>
      <c r="H73" s="44"/>
      <c r="I73" s="43">
        <f t="shared" si="166"/>
        <v>0</v>
      </c>
      <c r="J73" s="43">
        <f t="shared" si="167"/>
        <v>0</v>
      </c>
      <c r="K73" s="43">
        <f t="shared" si="168"/>
        <v>0</v>
      </c>
      <c r="N73" s="43">
        <f t="shared" si="169"/>
        <v>0</v>
      </c>
      <c r="P73" s="43">
        <f t="shared" si="170"/>
        <v>0</v>
      </c>
      <c r="Q73" s="43">
        <f t="shared" si="171"/>
        <v>0</v>
      </c>
      <c r="R73" s="43">
        <f t="shared" si="172"/>
        <v>0</v>
      </c>
      <c r="S73" s="43">
        <f t="shared" si="173"/>
        <v>0</v>
      </c>
      <c r="T73" s="43">
        <f t="shared" si="174"/>
        <v>0</v>
      </c>
      <c r="U73" s="43">
        <f t="shared" si="175"/>
        <v>0</v>
      </c>
      <c r="V73" s="43">
        <f t="shared" si="176"/>
        <v>0</v>
      </c>
      <c r="W73" s="37"/>
      <c r="X73" s="43">
        <f t="shared" si="177"/>
        <v>0</v>
      </c>
      <c r="Y73" s="43">
        <f t="shared" si="178"/>
        <v>0</v>
      </c>
      <c r="Z73" s="43">
        <f t="shared" si="179"/>
        <v>0</v>
      </c>
      <c r="AB73" s="43">
        <v>15</v>
      </c>
      <c r="AC73" s="43">
        <f>H73*0.189247333333333</f>
        <v>0</v>
      </c>
      <c r="AD73" s="43">
        <f>H73*(1-0.189247333333333)</f>
        <v>0</v>
      </c>
      <c r="AE73" s="45" t="s">
        <v>39</v>
      </c>
      <c r="AK73" s="43">
        <f t="shared" si="180"/>
        <v>0</v>
      </c>
      <c r="AL73" s="43">
        <f t="shared" si="181"/>
        <v>0</v>
      </c>
      <c r="AM73" s="45" t="s">
        <v>229</v>
      </c>
      <c r="AN73" s="45" t="s">
        <v>223</v>
      </c>
      <c r="AO73" s="37" t="s">
        <v>45</v>
      </c>
      <c r="AQ73" s="43">
        <f t="shared" si="182"/>
        <v>0</v>
      </c>
      <c r="AR73" s="43">
        <f t="shared" si="183"/>
        <v>0</v>
      </c>
      <c r="AS73" s="43">
        <v>0</v>
      </c>
      <c r="AT73" s="43" t="e">
        <f>#REF!</f>
        <v>#REF!</v>
      </c>
    </row>
    <row r="74" spans="1:46" ht="14.25">
      <c r="A74" s="42" t="s">
        <v>232</v>
      </c>
      <c r="B74" s="42"/>
      <c r="C74" s="42" t="s">
        <v>233</v>
      </c>
      <c r="D74" s="31"/>
      <c r="E74" s="42" t="s">
        <v>234</v>
      </c>
      <c r="F74" s="42" t="s">
        <v>70</v>
      </c>
      <c r="G74" s="43">
        <v>3.63</v>
      </c>
      <c r="H74" s="44"/>
      <c r="I74" s="43">
        <f t="shared" si="166"/>
        <v>0</v>
      </c>
      <c r="J74" s="43">
        <f t="shared" si="167"/>
        <v>0</v>
      </c>
      <c r="K74" s="43">
        <f t="shared" si="168"/>
        <v>0</v>
      </c>
      <c r="N74" s="43">
        <f t="shared" si="169"/>
        <v>0</v>
      </c>
      <c r="P74" s="43">
        <f t="shared" si="170"/>
        <v>0</v>
      </c>
      <c r="Q74" s="43">
        <f t="shared" si="171"/>
        <v>0</v>
      </c>
      <c r="R74" s="43">
        <f t="shared" si="172"/>
        <v>0</v>
      </c>
      <c r="S74" s="43">
        <f t="shared" si="173"/>
        <v>0</v>
      </c>
      <c r="T74" s="43">
        <f t="shared" si="174"/>
        <v>0</v>
      </c>
      <c r="U74" s="43">
        <f t="shared" si="175"/>
        <v>0</v>
      </c>
      <c r="V74" s="43">
        <f t="shared" si="176"/>
        <v>0</v>
      </c>
      <c r="W74" s="37"/>
      <c r="X74" s="43">
        <f t="shared" si="177"/>
        <v>0</v>
      </c>
      <c r="Y74" s="43">
        <f t="shared" si="178"/>
        <v>0</v>
      </c>
      <c r="Z74" s="43">
        <f t="shared" si="179"/>
        <v>0</v>
      </c>
      <c r="AB74" s="43">
        <v>15</v>
      </c>
      <c r="AC74" s="43">
        <f>H74*0.045728</f>
        <v>0</v>
      </c>
      <c r="AD74" s="43">
        <f>H74*(1-0.045728)</f>
        <v>0</v>
      </c>
      <c r="AE74" s="45" t="s">
        <v>39</v>
      </c>
      <c r="AK74" s="43">
        <f t="shared" si="180"/>
        <v>0</v>
      </c>
      <c r="AL74" s="43">
        <f t="shared" si="181"/>
        <v>0</v>
      </c>
      <c r="AM74" s="45" t="s">
        <v>229</v>
      </c>
      <c r="AN74" s="45" t="s">
        <v>223</v>
      </c>
      <c r="AO74" s="37" t="s">
        <v>45</v>
      </c>
      <c r="AQ74" s="43">
        <f t="shared" si="182"/>
        <v>0</v>
      </c>
      <c r="AR74" s="43">
        <f t="shared" si="183"/>
        <v>0</v>
      </c>
      <c r="AS74" s="43">
        <v>0</v>
      </c>
      <c r="AT74" s="43" t="e">
        <f>#REF!</f>
        <v>#REF!</v>
      </c>
    </row>
    <row r="75" spans="1:46" ht="14.25">
      <c r="A75" s="42" t="s">
        <v>235</v>
      </c>
      <c r="B75" s="42"/>
      <c r="C75" s="42" t="s">
        <v>236</v>
      </c>
      <c r="D75" s="31"/>
      <c r="E75" s="42" t="s">
        <v>237</v>
      </c>
      <c r="F75" s="42" t="s">
        <v>42</v>
      </c>
      <c r="G75" s="43">
        <v>100</v>
      </c>
      <c r="H75" s="44"/>
      <c r="I75" s="43">
        <f t="shared" si="166"/>
        <v>0</v>
      </c>
      <c r="J75" s="43">
        <f t="shared" si="167"/>
        <v>0</v>
      </c>
      <c r="K75" s="43">
        <f t="shared" si="168"/>
        <v>0</v>
      </c>
      <c r="N75" s="43">
        <f t="shared" si="169"/>
        <v>0</v>
      </c>
      <c r="P75" s="43">
        <f t="shared" si="170"/>
        <v>0</v>
      </c>
      <c r="Q75" s="43">
        <f t="shared" si="171"/>
        <v>0</v>
      </c>
      <c r="R75" s="43">
        <f t="shared" si="172"/>
        <v>0</v>
      </c>
      <c r="S75" s="43">
        <f t="shared" si="173"/>
        <v>0</v>
      </c>
      <c r="T75" s="43">
        <f t="shared" si="174"/>
        <v>0</v>
      </c>
      <c r="U75" s="43">
        <f t="shared" si="175"/>
        <v>0</v>
      </c>
      <c r="V75" s="43">
        <f t="shared" si="176"/>
        <v>0</v>
      </c>
      <c r="W75" s="37"/>
      <c r="X75" s="43">
        <f t="shared" si="177"/>
        <v>0</v>
      </c>
      <c r="Y75" s="43">
        <f t="shared" si="178"/>
        <v>0</v>
      </c>
      <c r="Z75" s="43">
        <f t="shared" si="179"/>
        <v>0</v>
      </c>
      <c r="AB75" s="43">
        <v>15</v>
      </c>
      <c r="AC75" s="43">
        <f aca="true" t="shared" si="184" ref="AC75:AC77">H75*0</f>
        <v>0</v>
      </c>
      <c r="AD75" s="43">
        <f aca="true" t="shared" si="185" ref="AD75:AD77">H75*(1-0)</f>
        <v>0</v>
      </c>
      <c r="AE75" s="45" t="s">
        <v>39</v>
      </c>
      <c r="AK75" s="43">
        <f t="shared" si="180"/>
        <v>0</v>
      </c>
      <c r="AL75" s="43">
        <f t="shared" si="181"/>
        <v>0</v>
      </c>
      <c r="AM75" s="45" t="s">
        <v>229</v>
      </c>
      <c r="AN75" s="45" t="s">
        <v>223</v>
      </c>
      <c r="AO75" s="37" t="s">
        <v>45</v>
      </c>
      <c r="AQ75" s="43">
        <f t="shared" si="182"/>
        <v>0</v>
      </c>
      <c r="AR75" s="43">
        <f t="shared" si="183"/>
        <v>0</v>
      </c>
      <c r="AS75" s="43">
        <v>0</v>
      </c>
      <c r="AT75" s="43" t="e">
        <f>#REF!</f>
        <v>#REF!</v>
      </c>
    </row>
    <row r="76" spans="1:46" ht="14.25">
      <c r="A76" s="42" t="s">
        <v>238</v>
      </c>
      <c r="B76" s="42"/>
      <c r="C76" s="42" t="s">
        <v>239</v>
      </c>
      <c r="D76" s="31"/>
      <c r="E76" s="42" t="s">
        <v>240</v>
      </c>
      <c r="F76" s="42" t="s">
        <v>70</v>
      </c>
      <c r="G76" s="43">
        <v>15</v>
      </c>
      <c r="H76" s="44"/>
      <c r="I76" s="43">
        <f t="shared" si="166"/>
        <v>0</v>
      </c>
      <c r="J76" s="43">
        <f t="shared" si="167"/>
        <v>0</v>
      </c>
      <c r="K76" s="43">
        <f t="shared" si="168"/>
        <v>0</v>
      </c>
      <c r="N76" s="43">
        <f t="shared" si="169"/>
        <v>0</v>
      </c>
      <c r="P76" s="43">
        <f t="shared" si="170"/>
        <v>0</v>
      </c>
      <c r="Q76" s="43">
        <f t="shared" si="171"/>
        <v>0</v>
      </c>
      <c r="R76" s="43">
        <f t="shared" si="172"/>
        <v>0</v>
      </c>
      <c r="S76" s="43">
        <f t="shared" si="173"/>
        <v>0</v>
      </c>
      <c r="T76" s="43">
        <f t="shared" si="174"/>
        <v>0</v>
      </c>
      <c r="U76" s="43">
        <f t="shared" si="175"/>
        <v>0</v>
      </c>
      <c r="V76" s="43">
        <f t="shared" si="176"/>
        <v>0</v>
      </c>
      <c r="W76" s="37"/>
      <c r="X76" s="43">
        <f t="shared" si="177"/>
        <v>0</v>
      </c>
      <c r="Y76" s="43">
        <f t="shared" si="178"/>
        <v>0</v>
      </c>
      <c r="Z76" s="43">
        <f t="shared" si="179"/>
        <v>0</v>
      </c>
      <c r="AB76" s="43">
        <v>15</v>
      </c>
      <c r="AC76" s="43">
        <f t="shared" si="184"/>
        <v>0</v>
      </c>
      <c r="AD76" s="43">
        <f t="shared" si="185"/>
        <v>0</v>
      </c>
      <c r="AE76" s="45" t="s">
        <v>39</v>
      </c>
      <c r="AK76" s="43">
        <f t="shared" si="180"/>
        <v>0</v>
      </c>
      <c r="AL76" s="43">
        <f t="shared" si="181"/>
        <v>0</v>
      </c>
      <c r="AM76" s="45" t="s">
        <v>229</v>
      </c>
      <c r="AN76" s="45" t="s">
        <v>223</v>
      </c>
      <c r="AO76" s="37" t="s">
        <v>45</v>
      </c>
      <c r="AQ76" s="43">
        <f t="shared" si="182"/>
        <v>0</v>
      </c>
      <c r="AR76" s="43">
        <f t="shared" si="183"/>
        <v>0</v>
      </c>
      <c r="AS76" s="43">
        <v>0</v>
      </c>
      <c r="AT76" s="43" t="e">
        <f>#REF!</f>
        <v>#REF!</v>
      </c>
    </row>
    <row r="77" spans="1:46" ht="14.25">
      <c r="A77" s="42" t="s">
        <v>241</v>
      </c>
      <c r="B77" s="42"/>
      <c r="C77" s="42" t="s">
        <v>242</v>
      </c>
      <c r="D77" s="31"/>
      <c r="E77" s="42" t="s">
        <v>243</v>
      </c>
      <c r="F77" s="42" t="s">
        <v>105</v>
      </c>
      <c r="G77" s="43">
        <v>1</v>
      </c>
      <c r="H77" s="44"/>
      <c r="I77" s="43">
        <f t="shared" si="166"/>
        <v>0</v>
      </c>
      <c r="J77" s="43">
        <f t="shared" si="167"/>
        <v>0</v>
      </c>
      <c r="K77" s="43">
        <f t="shared" si="168"/>
        <v>0</v>
      </c>
      <c r="N77" s="43">
        <f t="shared" si="169"/>
        <v>0</v>
      </c>
      <c r="P77" s="43">
        <f t="shared" si="170"/>
        <v>0</v>
      </c>
      <c r="Q77" s="43">
        <f t="shared" si="171"/>
        <v>0</v>
      </c>
      <c r="R77" s="43">
        <f t="shared" si="172"/>
        <v>0</v>
      </c>
      <c r="S77" s="43">
        <f t="shared" si="173"/>
        <v>0</v>
      </c>
      <c r="T77" s="43">
        <f t="shared" si="174"/>
        <v>0</v>
      </c>
      <c r="U77" s="43">
        <f t="shared" si="175"/>
        <v>0</v>
      </c>
      <c r="V77" s="43">
        <f t="shared" si="176"/>
        <v>0</v>
      </c>
      <c r="W77" s="37"/>
      <c r="X77" s="43">
        <f t="shared" si="177"/>
        <v>0</v>
      </c>
      <c r="Y77" s="43">
        <f t="shared" si="178"/>
        <v>0</v>
      </c>
      <c r="Z77" s="43">
        <f t="shared" si="179"/>
        <v>0</v>
      </c>
      <c r="AB77" s="43">
        <v>15</v>
      </c>
      <c r="AC77" s="43">
        <f t="shared" si="184"/>
        <v>0</v>
      </c>
      <c r="AD77" s="43">
        <f t="shared" si="185"/>
        <v>0</v>
      </c>
      <c r="AE77" s="45" t="s">
        <v>39</v>
      </c>
      <c r="AK77" s="43">
        <f t="shared" si="180"/>
        <v>0</v>
      </c>
      <c r="AL77" s="43">
        <f t="shared" si="181"/>
        <v>0</v>
      </c>
      <c r="AM77" s="45" t="s">
        <v>229</v>
      </c>
      <c r="AN77" s="45" t="s">
        <v>223</v>
      </c>
      <c r="AO77" s="37" t="s">
        <v>45</v>
      </c>
      <c r="AQ77" s="43">
        <f t="shared" si="182"/>
        <v>0</v>
      </c>
      <c r="AR77" s="43">
        <f t="shared" si="183"/>
        <v>0</v>
      </c>
      <c r="AS77" s="43">
        <v>0</v>
      </c>
      <c r="AT77" s="43" t="e">
        <f>#REF!</f>
        <v>#REF!</v>
      </c>
    </row>
    <row r="78" spans="1:35" ht="14.25">
      <c r="A78" s="46"/>
      <c r="B78" s="47"/>
      <c r="C78" s="47" t="s">
        <v>244</v>
      </c>
      <c r="D78" s="23"/>
      <c r="E78" s="47" t="s">
        <v>245</v>
      </c>
      <c r="F78" s="47"/>
      <c r="G78" s="47"/>
      <c r="H78" s="47"/>
      <c r="I78" s="41">
        <f>SUM(I79:I79)</f>
        <v>0</v>
      </c>
      <c r="J78" s="41">
        <f>SUM(J79:J79)</f>
        <v>0</v>
      </c>
      <c r="K78" s="41">
        <f>I78+J78</f>
        <v>0</v>
      </c>
      <c r="W78" s="37"/>
      <c r="AG78" s="41">
        <f>SUM(X79:X79)</f>
        <v>0</v>
      </c>
      <c r="AH78" s="41">
        <f>SUM(Y79:Y79)</f>
        <v>0</v>
      </c>
      <c r="AI78" s="41">
        <f>SUM(Z79:Z79)</f>
        <v>0</v>
      </c>
    </row>
    <row r="79" spans="1:46" ht="14.25">
      <c r="A79" s="42" t="s">
        <v>246</v>
      </c>
      <c r="B79" s="42"/>
      <c r="C79" s="42" t="s">
        <v>247</v>
      </c>
      <c r="D79" s="31"/>
      <c r="E79" s="42" t="s">
        <v>248</v>
      </c>
      <c r="F79" s="42" t="s">
        <v>74</v>
      </c>
      <c r="G79" s="43">
        <v>154</v>
      </c>
      <c r="H79" s="44"/>
      <c r="I79" s="43">
        <f>G79*AC79</f>
        <v>0</v>
      </c>
      <c r="J79" s="43">
        <f>K79-I79</f>
        <v>0</v>
      </c>
      <c r="K79" s="43">
        <f>G79*H79</f>
        <v>0</v>
      </c>
      <c r="N79" s="43">
        <f>IF(AE79="5",K79,0)</f>
        <v>0</v>
      </c>
      <c r="P79" s="43">
        <f>IF(AE79="1",I79,0)</f>
        <v>0</v>
      </c>
      <c r="Q79" s="43">
        <f>IF(AE79="1",J79,0)</f>
        <v>0</v>
      </c>
      <c r="R79" s="43">
        <f>IF(AE79="7",I79,0)</f>
        <v>0</v>
      </c>
      <c r="S79" s="43">
        <f>IF(AE79="7",J79,0)</f>
        <v>0</v>
      </c>
      <c r="T79" s="43">
        <f>IF(AE79="2",I79,0)</f>
        <v>0</v>
      </c>
      <c r="U79" s="43">
        <f>IF(AE79="2",J79,0)</f>
        <v>0</v>
      </c>
      <c r="V79" s="43">
        <f>IF(AE79="0",K79,0)</f>
        <v>0</v>
      </c>
      <c r="W79" s="37"/>
      <c r="X79" s="43">
        <f>IF(AB79=0,K79,0)</f>
        <v>0</v>
      </c>
      <c r="Y79" s="43">
        <f>IF(AB79=15,K79,0)</f>
        <v>0</v>
      </c>
      <c r="Z79" s="43">
        <f>IF(AB79=21,K79,0)</f>
        <v>0</v>
      </c>
      <c r="AB79" s="43">
        <v>15</v>
      </c>
      <c r="AC79" s="43">
        <f>H79*0</f>
        <v>0</v>
      </c>
      <c r="AD79" s="43">
        <f>H79*(1-0)</f>
        <v>0</v>
      </c>
      <c r="AE79" s="45" t="s">
        <v>57</v>
      </c>
      <c r="AK79" s="43">
        <f>G79*AC79</f>
        <v>0</v>
      </c>
      <c r="AL79" s="43">
        <f>G79*AD79</f>
        <v>0</v>
      </c>
      <c r="AM79" s="45" t="s">
        <v>249</v>
      </c>
      <c r="AN79" s="45" t="s">
        <v>223</v>
      </c>
      <c r="AO79" s="37" t="s">
        <v>45</v>
      </c>
      <c r="AQ79" s="43">
        <f>AK79+AL79</f>
        <v>0</v>
      </c>
      <c r="AR79" s="43">
        <f>H79/(100-AS79)*100</f>
        <v>0</v>
      </c>
      <c r="AS79" s="43">
        <v>0</v>
      </c>
      <c r="AT79" s="43" t="e">
        <f>#REF!</f>
        <v>#REF!</v>
      </c>
    </row>
    <row r="80" spans="1:35" ht="14.25">
      <c r="A80" s="46"/>
      <c r="B80" s="47"/>
      <c r="C80" s="47" t="s">
        <v>250</v>
      </c>
      <c r="D80" s="23"/>
      <c r="E80" s="47" t="s">
        <v>251</v>
      </c>
      <c r="F80" s="47"/>
      <c r="G80" s="47"/>
      <c r="H80" s="47"/>
      <c r="I80" s="41">
        <f>SUM(I81:I81)</f>
        <v>0</v>
      </c>
      <c r="J80" s="41">
        <f>SUM(J81:J81)</f>
        <v>0</v>
      </c>
      <c r="K80" s="41">
        <f>I80+J80</f>
        <v>0</v>
      </c>
      <c r="W80" s="37"/>
      <c r="AG80" s="41">
        <f>SUM(X81:X81)</f>
        <v>0</v>
      </c>
      <c r="AH80" s="41">
        <f>SUM(Y81:Y81)</f>
        <v>0</v>
      </c>
      <c r="AI80" s="41">
        <f>SUM(Z81:Z81)</f>
        <v>0</v>
      </c>
    </row>
    <row r="81" spans="1:46" ht="14.25">
      <c r="A81" s="42" t="s">
        <v>252</v>
      </c>
      <c r="B81" s="42"/>
      <c r="C81" s="42" t="s">
        <v>253</v>
      </c>
      <c r="D81" s="31"/>
      <c r="E81" s="42" t="s">
        <v>254</v>
      </c>
      <c r="F81" s="42" t="s">
        <v>105</v>
      </c>
      <c r="G81" s="43">
        <v>1</v>
      </c>
      <c r="H81" s="44"/>
      <c r="I81" s="43">
        <f>G81*AC81</f>
        <v>0</v>
      </c>
      <c r="J81" s="43">
        <f>K81-I81</f>
        <v>0</v>
      </c>
      <c r="K81" s="43">
        <f>G81*H81</f>
        <v>0</v>
      </c>
      <c r="N81" s="43">
        <f>IF(AE81="5",K81,0)</f>
        <v>0</v>
      </c>
      <c r="P81" s="43">
        <f>IF(AE81="1",I81,0)</f>
        <v>0</v>
      </c>
      <c r="Q81" s="43">
        <f>IF(AE81="1",J81,0)</f>
        <v>0</v>
      </c>
      <c r="R81" s="43">
        <f>IF(AE81="7",I81,0)</f>
        <v>0</v>
      </c>
      <c r="S81" s="43">
        <f>IF(AE81="7",J81,0)</f>
        <v>0</v>
      </c>
      <c r="T81" s="43">
        <f>IF(AE81="2",I81,0)</f>
        <v>0</v>
      </c>
      <c r="U81" s="43">
        <f>IF(AE81="2",J81,0)</f>
        <v>0</v>
      </c>
      <c r="V81" s="43">
        <f>IF(AE81="0",K81,0)</f>
        <v>0</v>
      </c>
      <c r="W81" s="37"/>
      <c r="X81" s="43">
        <f>IF(AB81=0,K81,0)</f>
        <v>0</v>
      </c>
      <c r="Y81" s="43">
        <f>IF(AB81=15,K81,0)</f>
        <v>0</v>
      </c>
      <c r="Z81" s="43">
        <f>IF(AB81=21,K81,0)</f>
        <v>0</v>
      </c>
      <c r="AB81" s="43">
        <v>15</v>
      </c>
      <c r="AC81" s="43">
        <f>H81*0.198424</f>
        <v>0</v>
      </c>
      <c r="AD81" s="43">
        <f>H81*(1-0.198424)</f>
        <v>0</v>
      </c>
      <c r="AE81" s="45" t="s">
        <v>48</v>
      </c>
      <c r="AK81" s="43">
        <f>G81*AC81</f>
        <v>0</v>
      </c>
      <c r="AL81" s="43">
        <f>G81*AD81</f>
        <v>0</v>
      </c>
      <c r="AM81" s="45" t="s">
        <v>255</v>
      </c>
      <c r="AN81" s="45" t="s">
        <v>223</v>
      </c>
      <c r="AO81" s="37" t="s">
        <v>45</v>
      </c>
      <c r="AQ81" s="43">
        <f>AK81+AL81</f>
        <v>0</v>
      </c>
      <c r="AR81" s="43">
        <f>H81/(100-AS81)*100</f>
        <v>0</v>
      </c>
      <c r="AS81" s="43">
        <v>0</v>
      </c>
      <c r="AT81" s="43" t="e">
        <f>#REF!</f>
        <v>#REF!</v>
      </c>
    </row>
    <row r="82" spans="1:35" ht="14.25">
      <c r="A82" s="46"/>
      <c r="B82" s="47"/>
      <c r="C82" s="47"/>
      <c r="D82" s="23"/>
      <c r="E82" s="47" t="s">
        <v>256</v>
      </c>
      <c r="F82" s="47"/>
      <c r="G82" s="47"/>
      <c r="H82" s="47"/>
      <c r="I82" s="41">
        <f>SUM(I83:I85)</f>
        <v>0</v>
      </c>
      <c r="J82" s="41">
        <f>SUM(J83:J85)</f>
        <v>0</v>
      </c>
      <c r="K82" s="41">
        <f>I82+J82</f>
        <v>0</v>
      </c>
      <c r="W82" s="37"/>
      <c r="AG82" s="41">
        <f>SUM(X83:X85)</f>
        <v>0</v>
      </c>
      <c r="AH82" s="41">
        <f>SUM(Y83:Y85)</f>
        <v>0</v>
      </c>
      <c r="AI82" s="41">
        <f>SUM(Z83:Z85)</f>
        <v>0</v>
      </c>
    </row>
    <row r="83" spans="1:46" ht="14.25">
      <c r="A83" s="42" t="s">
        <v>257</v>
      </c>
      <c r="B83" s="42"/>
      <c r="C83" s="42" t="s">
        <v>258</v>
      </c>
      <c r="D83" s="31"/>
      <c r="E83" s="42" t="s">
        <v>259</v>
      </c>
      <c r="F83" s="42" t="s">
        <v>42</v>
      </c>
      <c r="G83" s="43">
        <v>63</v>
      </c>
      <c r="H83" s="44"/>
      <c r="I83" s="43">
        <f aca="true" t="shared" si="186" ref="I83:I85">G83*AC83</f>
        <v>0</v>
      </c>
      <c r="J83" s="43">
        <f aca="true" t="shared" si="187" ref="J83:J85">K83-I83</f>
        <v>0</v>
      </c>
      <c r="K83" s="43">
        <f aca="true" t="shared" si="188" ref="K83:K85">G83*H83</f>
        <v>0</v>
      </c>
      <c r="N83" s="43">
        <f aca="true" t="shared" si="189" ref="N83:N85">IF(AE83="5",K83,0)</f>
        <v>0</v>
      </c>
      <c r="P83" s="43">
        <f aca="true" t="shared" si="190" ref="P83:P85">IF(AE83="1",I83,0)</f>
        <v>0</v>
      </c>
      <c r="Q83" s="43">
        <f aca="true" t="shared" si="191" ref="Q83:Q85">IF(AE83="1",J83,0)</f>
        <v>0</v>
      </c>
      <c r="R83" s="43">
        <f aca="true" t="shared" si="192" ref="R83:R85">IF(AE83="7",I83,0)</f>
        <v>0</v>
      </c>
      <c r="S83" s="43">
        <f aca="true" t="shared" si="193" ref="S83:S85">IF(AE83="7",J83,0)</f>
        <v>0</v>
      </c>
      <c r="T83" s="43">
        <f aca="true" t="shared" si="194" ref="T83:T85">IF(AE83="2",I83,0)</f>
        <v>0</v>
      </c>
      <c r="U83" s="43">
        <f aca="true" t="shared" si="195" ref="U83:U85">IF(AE83="2",J83,0)</f>
        <v>0</v>
      </c>
      <c r="V83" s="43">
        <f aca="true" t="shared" si="196" ref="V83:V85">IF(AE83="0",K83,0)</f>
        <v>0</v>
      </c>
      <c r="W83" s="37"/>
      <c r="X83" s="43">
        <f aca="true" t="shared" si="197" ref="X83:X85">IF(AB83=0,K83,0)</f>
        <v>0</v>
      </c>
      <c r="Y83" s="43">
        <f aca="true" t="shared" si="198" ref="Y83:Y85">IF(AB83=15,K83,0)</f>
        <v>0</v>
      </c>
      <c r="Z83" s="43">
        <f aca="true" t="shared" si="199" ref="Z83:Z85">IF(AB83=21,K83,0)</f>
        <v>0</v>
      </c>
      <c r="AB83" s="43">
        <v>15</v>
      </c>
      <c r="AC83" s="43">
        <f aca="true" t="shared" si="200" ref="AC83:AC85">H83*1</f>
        <v>0</v>
      </c>
      <c r="AD83" s="43">
        <f aca="true" t="shared" si="201" ref="AD83:AD85">H83*(1-1)</f>
        <v>0</v>
      </c>
      <c r="AE83" s="45" t="s">
        <v>260</v>
      </c>
      <c r="AK83" s="43">
        <f aca="true" t="shared" si="202" ref="AK83:AK85">G83*AC83</f>
        <v>0</v>
      </c>
      <c r="AL83" s="43">
        <f aca="true" t="shared" si="203" ref="AL83:AL85">G83*AD83</f>
        <v>0</v>
      </c>
      <c r="AM83" s="45" t="s">
        <v>261</v>
      </c>
      <c r="AN83" s="45" t="s">
        <v>262</v>
      </c>
      <c r="AO83" s="37" t="s">
        <v>45</v>
      </c>
      <c r="AQ83" s="43">
        <f aca="true" t="shared" si="204" ref="AQ83:AQ85">AK83+AL83</f>
        <v>0</v>
      </c>
      <c r="AR83" s="43">
        <f aca="true" t="shared" si="205" ref="AR83:AR85">H83/(100-AS83)*100</f>
        <v>0</v>
      </c>
      <c r="AS83" s="43">
        <v>0</v>
      </c>
      <c r="AT83" s="43" t="e">
        <f>#REF!</f>
        <v>#REF!</v>
      </c>
    </row>
    <row r="84" spans="1:46" ht="14.25">
      <c r="A84" s="42" t="s">
        <v>263</v>
      </c>
      <c r="B84" s="42"/>
      <c r="C84" s="42" t="s">
        <v>264</v>
      </c>
      <c r="D84" s="31"/>
      <c r="E84" s="42" t="s">
        <v>265</v>
      </c>
      <c r="F84" s="42" t="s">
        <v>42</v>
      </c>
      <c r="G84" s="43">
        <v>42</v>
      </c>
      <c r="H84" s="44"/>
      <c r="I84" s="43">
        <f t="shared" si="186"/>
        <v>0</v>
      </c>
      <c r="J84" s="43">
        <f t="shared" si="187"/>
        <v>0</v>
      </c>
      <c r="K84" s="43">
        <f t="shared" si="188"/>
        <v>0</v>
      </c>
      <c r="N84" s="43">
        <f t="shared" si="189"/>
        <v>0</v>
      </c>
      <c r="P84" s="43">
        <f t="shared" si="190"/>
        <v>0</v>
      </c>
      <c r="Q84" s="43">
        <f t="shared" si="191"/>
        <v>0</v>
      </c>
      <c r="R84" s="43">
        <f t="shared" si="192"/>
        <v>0</v>
      </c>
      <c r="S84" s="43">
        <f t="shared" si="193"/>
        <v>0</v>
      </c>
      <c r="T84" s="43">
        <f t="shared" si="194"/>
        <v>0</v>
      </c>
      <c r="U84" s="43">
        <f t="shared" si="195"/>
        <v>0</v>
      </c>
      <c r="V84" s="43">
        <f t="shared" si="196"/>
        <v>0</v>
      </c>
      <c r="W84" s="37"/>
      <c r="X84" s="43">
        <f t="shared" si="197"/>
        <v>0</v>
      </c>
      <c r="Y84" s="43">
        <f t="shared" si="198"/>
        <v>0</v>
      </c>
      <c r="Z84" s="43">
        <f t="shared" si="199"/>
        <v>0</v>
      </c>
      <c r="AB84" s="43">
        <v>15</v>
      </c>
      <c r="AC84" s="43">
        <f t="shared" si="200"/>
        <v>0</v>
      </c>
      <c r="AD84" s="43">
        <f t="shared" si="201"/>
        <v>0</v>
      </c>
      <c r="AE84" s="45" t="s">
        <v>260</v>
      </c>
      <c r="AK84" s="43">
        <f t="shared" si="202"/>
        <v>0</v>
      </c>
      <c r="AL84" s="43">
        <f t="shared" si="203"/>
        <v>0</v>
      </c>
      <c r="AM84" s="45" t="s">
        <v>261</v>
      </c>
      <c r="AN84" s="45" t="s">
        <v>262</v>
      </c>
      <c r="AO84" s="37" t="s">
        <v>45</v>
      </c>
      <c r="AQ84" s="43">
        <f t="shared" si="204"/>
        <v>0</v>
      </c>
      <c r="AR84" s="43">
        <f t="shared" si="205"/>
        <v>0</v>
      </c>
      <c r="AS84" s="43">
        <v>0</v>
      </c>
      <c r="AT84" s="43" t="e">
        <f>#REF!</f>
        <v>#REF!</v>
      </c>
    </row>
    <row r="85" spans="1:46" ht="14.25">
      <c r="A85" s="48" t="s">
        <v>266</v>
      </c>
      <c r="B85" s="48"/>
      <c r="C85" s="48" t="s">
        <v>267</v>
      </c>
      <c r="D85" s="31"/>
      <c r="E85" s="48" t="s">
        <v>268</v>
      </c>
      <c r="F85" s="48" t="s">
        <v>42</v>
      </c>
      <c r="G85" s="49">
        <v>32</v>
      </c>
      <c r="H85" s="50"/>
      <c r="I85" s="49">
        <f t="shared" si="186"/>
        <v>0</v>
      </c>
      <c r="J85" s="49">
        <f t="shared" si="187"/>
        <v>0</v>
      </c>
      <c r="K85" s="49">
        <f t="shared" si="188"/>
        <v>0</v>
      </c>
      <c r="N85" s="43">
        <f t="shared" si="189"/>
        <v>0</v>
      </c>
      <c r="P85" s="43">
        <f t="shared" si="190"/>
        <v>0</v>
      </c>
      <c r="Q85" s="43">
        <f t="shared" si="191"/>
        <v>0</v>
      </c>
      <c r="R85" s="43">
        <f t="shared" si="192"/>
        <v>0</v>
      </c>
      <c r="S85" s="43">
        <f t="shared" si="193"/>
        <v>0</v>
      </c>
      <c r="T85" s="43">
        <f t="shared" si="194"/>
        <v>0</v>
      </c>
      <c r="U85" s="43">
        <f t="shared" si="195"/>
        <v>0</v>
      </c>
      <c r="V85" s="43">
        <f t="shared" si="196"/>
        <v>0</v>
      </c>
      <c r="W85" s="37"/>
      <c r="X85" s="43">
        <f t="shared" si="197"/>
        <v>0</v>
      </c>
      <c r="Y85" s="43">
        <f t="shared" si="198"/>
        <v>0</v>
      </c>
      <c r="Z85" s="43">
        <f t="shared" si="199"/>
        <v>0</v>
      </c>
      <c r="AB85" s="43">
        <v>15</v>
      </c>
      <c r="AC85" s="43">
        <f t="shared" si="200"/>
        <v>0</v>
      </c>
      <c r="AD85" s="43">
        <f t="shared" si="201"/>
        <v>0</v>
      </c>
      <c r="AE85" s="45" t="s">
        <v>260</v>
      </c>
      <c r="AK85" s="43">
        <f t="shared" si="202"/>
        <v>0</v>
      </c>
      <c r="AL85" s="43">
        <f t="shared" si="203"/>
        <v>0</v>
      </c>
      <c r="AM85" s="45" t="s">
        <v>261</v>
      </c>
      <c r="AN85" s="45" t="s">
        <v>262</v>
      </c>
      <c r="AO85" s="37" t="s">
        <v>45</v>
      </c>
      <c r="AQ85" s="43">
        <f t="shared" si="204"/>
        <v>0</v>
      </c>
      <c r="AR85" s="43">
        <f t="shared" si="205"/>
        <v>0</v>
      </c>
      <c r="AS85" s="43">
        <v>0</v>
      </c>
      <c r="AT85" s="43" t="e">
        <f>#REF!</f>
        <v>#REF!</v>
      </c>
    </row>
    <row r="86" spans="1:46" ht="14.25">
      <c r="A86" s="42"/>
      <c r="B86" s="42"/>
      <c r="C86" s="42"/>
      <c r="D86" s="31"/>
      <c r="E86" s="47" t="s">
        <v>269</v>
      </c>
      <c r="F86" s="47"/>
      <c r="G86" s="47"/>
      <c r="H86" s="47"/>
      <c r="I86" s="41">
        <f>SUM(I87:I89)</f>
        <v>0</v>
      </c>
      <c r="J86" s="41">
        <f>SUM(J87:J89)</f>
        <v>0</v>
      </c>
      <c r="K86" s="41"/>
      <c r="N86" s="43"/>
      <c r="P86" s="43"/>
      <c r="Q86" s="43"/>
      <c r="R86" s="43"/>
      <c r="S86" s="43"/>
      <c r="T86" s="43"/>
      <c r="U86" s="43"/>
      <c r="V86" s="43"/>
      <c r="W86" s="37"/>
      <c r="X86" s="43"/>
      <c r="Y86" s="43"/>
      <c r="Z86" s="43"/>
      <c r="AB86" s="43"/>
      <c r="AC86" s="43"/>
      <c r="AD86" s="43"/>
      <c r="AE86" s="45"/>
      <c r="AK86" s="43"/>
      <c r="AL86" s="43"/>
      <c r="AM86" s="45"/>
      <c r="AN86" s="45"/>
      <c r="AO86" s="37"/>
      <c r="AQ86" s="43"/>
      <c r="AR86" s="43"/>
      <c r="AS86" s="43"/>
      <c r="AT86" s="43"/>
    </row>
    <row r="87" spans="1:46" ht="14.25">
      <c r="A87" s="42"/>
      <c r="B87" s="42"/>
      <c r="C87" s="42"/>
      <c r="D87" s="31"/>
      <c r="E87" s="42" t="s">
        <v>270</v>
      </c>
      <c r="F87" s="42" t="s">
        <v>271</v>
      </c>
      <c r="G87" s="43">
        <v>1</v>
      </c>
      <c r="H87" s="44"/>
      <c r="I87" s="43">
        <f>G87*AC87</f>
        <v>0</v>
      </c>
      <c r="J87" s="43">
        <f>K87-I87</f>
        <v>0</v>
      </c>
      <c r="K87" s="49">
        <f>G87*H87</f>
        <v>0</v>
      </c>
      <c r="N87" s="43"/>
      <c r="P87" s="43"/>
      <c r="Q87" s="43"/>
      <c r="R87" s="43"/>
      <c r="S87" s="43"/>
      <c r="T87" s="43"/>
      <c r="U87" s="43"/>
      <c r="V87" s="43"/>
      <c r="W87" s="37"/>
      <c r="X87" s="43"/>
      <c r="Y87" s="43"/>
      <c r="Z87" s="43"/>
      <c r="AB87" s="43"/>
      <c r="AC87" s="43"/>
      <c r="AD87" s="43"/>
      <c r="AE87" s="45"/>
      <c r="AK87" s="43"/>
      <c r="AL87" s="43"/>
      <c r="AM87" s="45"/>
      <c r="AN87" s="45"/>
      <c r="AO87" s="37"/>
      <c r="AQ87" s="43"/>
      <c r="AR87" s="43"/>
      <c r="AS87" s="43"/>
      <c r="AT87" s="43"/>
    </row>
    <row r="88" spans="1:46" ht="14.25">
      <c r="A88" s="42"/>
      <c r="B88" s="42"/>
      <c r="C88" s="42"/>
      <c r="D88" s="31"/>
      <c r="E88" s="47" t="s">
        <v>272</v>
      </c>
      <c r="F88" s="47"/>
      <c r="G88" s="47"/>
      <c r="H88" s="47"/>
      <c r="I88" s="41">
        <f>SUM(I89:I90)</f>
        <v>0</v>
      </c>
      <c r="J88" s="41">
        <f>SUM(J89:J90)</f>
        <v>0</v>
      </c>
      <c r="K88" s="41"/>
      <c r="N88" s="43"/>
      <c r="P88" s="43"/>
      <c r="Q88" s="43"/>
      <c r="R88" s="43"/>
      <c r="S88" s="43"/>
      <c r="T88" s="43"/>
      <c r="U88" s="43"/>
      <c r="V88" s="43"/>
      <c r="W88" s="37"/>
      <c r="X88" s="43"/>
      <c r="Y88" s="43"/>
      <c r="Z88" s="43"/>
      <c r="AB88" s="43"/>
      <c r="AC88" s="43"/>
      <c r="AD88" s="43"/>
      <c r="AE88" s="45"/>
      <c r="AK88" s="43"/>
      <c r="AL88" s="43"/>
      <c r="AM88" s="45"/>
      <c r="AN88" s="45"/>
      <c r="AO88" s="37"/>
      <c r="AQ88" s="43"/>
      <c r="AR88" s="43"/>
      <c r="AS88" s="43"/>
      <c r="AT88" s="43"/>
    </row>
    <row r="89" spans="1:46" ht="14.25">
      <c r="A89" s="42"/>
      <c r="B89" s="42"/>
      <c r="C89" s="42"/>
      <c r="D89" s="31"/>
      <c r="E89" s="42" t="s">
        <v>273</v>
      </c>
      <c r="F89" s="42" t="s">
        <v>271</v>
      </c>
      <c r="G89" s="43">
        <v>1</v>
      </c>
      <c r="H89" s="44"/>
      <c r="I89" s="43">
        <f>G89*AC89</f>
        <v>0</v>
      </c>
      <c r="J89" s="43">
        <f>K89-I89</f>
        <v>0</v>
      </c>
      <c r="K89" s="49">
        <f aca="true" t="shared" si="206" ref="K89:K90">G89*H89</f>
        <v>0</v>
      </c>
      <c r="N89" s="43"/>
      <c r="P89" s="43"/>
      <c r="Q89" s="43"/>
      <c r="R89" s="43"/>
      <c r="S89" s="43"/>
      <c r="T89" s="43"/>
      <c r="U89" s="43"/>
      <c r="V89" s="43"/>
      <c r="W89" s="37"/>
      <c r="X89" s="43"/>
      <c r="Y89" s="43"/>
      <c r="Z89" s="43"/>
      <c r="AB89" s="43"/>
      <c r="AC89" s="43"/>
      <c r="AD89" s="43"/>
      <c r="AE89" s="45"/>
      <c r="AK89" s="43"/>
      <c r="AL89" s="43"/>
      <c r="AM89" s="45"/>
      <c r="AN89" s="45"/>
      <c r="AO89" s="37"/>
      <c r="AQ89" s="43"/>
      <c r="AR89" s="43"/>
      <c r="AS89" s="43"/>
      <c r="AT89" s="43"/>
    </row>
    <row r="90" spans="1:46" ht="14.25">
      <c r="A90" s="42"/>
      <c r="B90" s="42"/>
      <c r="C90" s="42"/>
      <c r="D90" s="31"/>
      <c r="E90" s="42" t="s">
        <v>274</v>
      </c>
      <c r="F90" s="42" t="s">
        <v>271</v>
      </c>
      <c r="G90" s="43">
        <v>1</v>
      </c>
      <c r="H90" s="44"/>
      <c r="I90" s="43"/>
      <c r="J90" s="43"/>
      <c r="K90" s="49">
        <f t="shared" si="206"/>
        <v>0</v>
      </c>
      <c r="N90" s="43"/>
      <c r="P90" s="43"/>
      <c r="Q90" s="43"/>
      <c r="R90" s="43"/>
      <c r="S90" s="43"/>
      <c r="T90" s="43"/>
      <c r="U90" s="43"/>
      <c r="V90" s="43"/>
      <c r="W90" s="37"/>
      <c r="X90" s="43"/>
      <c r="Y90" s="43"/>
      <c r="Z90" s="43"/>
      <c r="AB90" s="43"/>
      <c r="AC90" s="43"/>
      <c r="AD90" s="43"/>
      <c r="AE90" s="45"/>
      <c r="AK90" s="43"/>
      <c r="AL90" s="43"/>
      <c r="AM90" s="45"/>
      <c r="AN90" s="45"/>
      <c r="AO90" s="37"/>
      <c r="AQ90" s="43"/>
      <c r="AR90" s="43"/>
      <c r="AS90" s="43"/>
      <c r="AT90" s="43"/>
    </row>
    <row r="91" spans="1:46" ht="14.25">
      <c r="A91" s="51"/>
      <c r="B91" s="51"/>
      <c r="C91" s="51"/>
      <c r="D91" s="52"/>
      <c r="E91" s="53" t="s">
        <v>275</v>
      </c>
      <c r="F91" s="54"/>
      <c r="G91" s="54"/>
      <c r="H91" s="54"/>
      <c r="I91" s="55" t="s">
        <v>276</v>
      </c>
      <c r="J91" s="55"/>
      <c r="K91" s="56">
        <f>K12+K14+K19+K23+K28+K31+K35+K37+K40+K42+K45+K47+K49+K54+K59+K61+K63+K65+K67+K69+K71+K78+K80+K82+K86+K88</f>
        <v>0</v>
      </c>
      <c r="N91" s="43"/>
      <c r="P91" s="43"/>
      <c r="Q91" s="43"/>
      <c r="R91" s="43"/>
      <c r="S91" s="43"/>
      <c r="T91" s="43"/>
      <c r="U91" s="43"/>
      <c r="V91" s="43"/>
      <c r="W91" s="37"/>
      <c r="X91" s="43"/>
      <c r="Y91" s="43"/>
      <c r="Z91" s="43"/>
      <c r="AB91" s="43"/>
      <c r="AC91" s="43"/>
      <c r="AD91" s="43"/>
      <c r="AE91" s="45"/>
      <c r="AK91" s="43"/>
      <c r="AL91" s="43"/>
      <c r="AM91" s="45"/>
      <c r="AN91" s="45"/>
      <c r="AO91" s="37"/>
      <c r="AQ91" s="43"/>
      <c r="AR91" s="43"/>
      <c r="AS91" s="43"/>
      <c r="AT91" s="43"/>
    </row>
    <row r="92" spans="1:46" ht="14.25">
      <c r="A92" s="57" t="s">
        <v>277</v>
      </c>
      <c r="D92" s="58"/>
      <c r="E92" s="59" t="s">
        <v>278</v>
      </c>
      <c r="F92" s="60"/>
      <c r="G92" s="60"/>
      <c r="H92" s="60"/>
      <c r="I92" s="60"/>
      <c r="J92" s="60"/>
      <c r="K92" s="61">
        <f>K91*1.15</f>
        <v>0</v>
      </c>
      <c r="N92" s="43"/>
      <c r="P92" s="43"/>
      <c r="Q92" s="43"/>
      <c r="R92" s="43"/>
      <c r="S92" s="43"/>
      <c r="T92" s="43"/>
      <c r="U92" s="43"/>
      <c r="V92" s="43"/>
      <c r="W92" s="37"/>
      <c r="X92" s="43"/>
      <c r="Y92" s="43"/>
      <c r="Z92" s="43"/>
      <c r="AB92" s="43"/>
      <c r="AC92" s="43"/>
      <c r="AD92" s="43"/>
      <c r="AE92" s="45"/>
      <c r="AK92" s="43"/>
      <c r="AL92" s="43"/>
      <c r="AM92" s="45"/>
      <c r="AN92" s="45"/>
      <c r="AO92" s="37"/>
      <c r="AQ92" s="43"/>
      <c r="AR92" s="43"/>
      <c r="AS92" s="43"/>
      <c r="AT92" s="43"/>
    </row>
    <row r="93" spans="1:46" ht="12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N93" s="43"/>
      <c r="P93" s="43"/>
      <c r="Q93" s="43"/>
      <c r="R93" s="43"/>
      <c r="S93" s="43"/>
      <c r="T93" s="43"/>
      <c r="U93" s="43"/>
      <c r="V93" s="43"/>
      <c r="W93" s="37"/>
      <c r="X93" s="43"/>
      <c r="Y93" s="43"/>
      <c r="Z93" s="43"/>
      <c r="AB93" s="43"/>
      <c r="AC93" s="43"/>
      <c r="AD93" s="43"/>
      <c r="AE93" s="45"/>
      <c r="AK93" s="43"/>
      <c r="AL93" s="43"/>
      <c r="AM93" s="45"/>
      <c r="AN93" s="45"/>
      <c r="AO93" s="37"/>
      <c r="AQ93" s="43"/>
      <c r="AR93" s="43"/>
      <c r="AS93" s="43"/>
      <c r="AT93" s="43"/>
    </row>
    <row r="94" spans="5:46" ht="15.75">
      <c r="E94" s="62" t="s">
        <v>279</v>
      </c>
      <c r="F94" s="63"/>
      <c r="G94" s="64"/>
      <c r="H94" s="64"/>
      <c r="I94" s="64"/>
      <c r="J94" s="64"/>
      <c r="K94" s="65" t="s">
        <v>280</v>
      </c>
      <c r="N94" s="43"/>
      <c r="P94" s="43"/>
      <c r="Q94" s="43"/>
      <c r="R94" s="43"/>
      <c r="S94" s="43"/>
      <c r="T94" s="43"/>
      <c r="U94" s="43"/>
      <c r="V94" s="43"/>
      <c r="W94" s="37"/>
      <c r="X94" s="43"/>
      <c r="Y94" s="43"/>
      <c r="Z94" s="43"/>
      <c r="AB94" s="43"/>
      <c r="AC94" s="43"/>
      <c r="AD94" s="43"/>
      <c r="AE94" s="45"/>
      <c r="AK94" s="43"/>
      <c r="AL94" s="43"/>
      <c r="AM94" s="45"/>
      <c r="AN94" s="45"/>
      <c r="AO94" s="37"/>
      <c r="AQ94" s="43"/>
      <c r="AR94" s="43"/>
      <c r="AS94" s="43"/>
      <c r="AT94" s="43"/>
    </row>
    <row r="95" spans="5:10" ht="15.75">
      <c r="E95" s="66"/>
      <c r="F95" s="65"/>
      <c r="G95" s="67"/>
      <c r="H95" s="66"/>
      <c r="I95" s="66"/>
      <c r="J95" s="66"/>
    </row>
    <row r="96" spans="5:10" ht="11.25" customHeight="1">
      <c r="E96" s="68"/>
      <c r="F96" s="68"/>
      <c r="G96" s="69"/>
      <c r="H96" s="68"/>
      <c r="I96" s="68"/>
      <c r="J96" s="68"/>
    </row>
    <row r="97" spans="5:10" ht="409.5" customHeight="1" hidden="1">
      <c r="E97" s="70" t="s">
        <v>281</v>
      </c>
      <c r="F97" s="70"/>
      <c r="G97" s="70"/>
      <c r="H97" s="70"/>
      <c r="I97" s="70"/>
      <c r="J97" s="70"/>
    </row>
    <row r="98" ht="15"/>
    <row r="99" ht="15"/>
  </sheetData>
  <sheetProtection selectLockedCells="1" selectUnlockedCells="1"/>
  <mergeCells count="49">
    <mergeCell ref="A1:K1"/>
    <mergeCell ref="A2:C3"/>
    <mergeCell ref="E2:E3"/>
    <mergeCell ref="F2:K3"/>
    <mergeCell ref="A4:C5"/>
    <mergeCell ref="E4:E5"/>
    <mergeCell ref="F4:K5"/>
    <mergeCell ref="A6:C7"/>
    <mergeCell ref="E6:E7"/>
    <mergeCell ref="F6:G7"/>
    <mergeCell ref="H6:I7"/>
    <mergeCell ref="J6:J7"/>
    <mergeCell ref="K6:K7"/>
    <mergeCell ref="A8:C9"/>
    <mergeCell ref="E8:E9"/>
    <mergeCell ref="F8:G9"/>
    <mergeCell ref="H8:I9"/>
    <mergeCell ref="J8:J9"/>
    <mergeCell ref="K8:K9"/>
    <mergeCell ref="I10:K10"/>
    <mergeCell ref="E12:H12"/>
    <mergeCell ref="E14:H14"/>
    <mergeCell ref="E19:H19"/>
    <mergeCell ref="E23:H23"/>
    <mergeCell ref="E28:H28"/>
    <mergeCell ref="E31:H31"/>
    <mergeCell ref="E35:H35"/>
    <mergeCell ref="E37:H37"/>
    <mergeCell ref="E40:H40"/>
    <mergeCell ref="E42:H42"/>
    <mergeCell ref="E45:H45"/>
    <mergeCell ref="E47:H47"/>
    <mergeCell ref="E49:H49"/>
    <mergeCell ref="E54:H54"/>
    <mergeCell ref="E59:H59"/>
    <mergeCell ref="E61:H61"/>
    <mergeCell ref="E63:H63"/>
    <mergeCell ref="E65:H65"/>
    <mergeCell ref="E67:H67"/>
    <mergeCell ref="E69:H69"/>
    <mergeCell ref="E71:H71"/>
    <mergeCell ref="E78:H78"/>
    <mergeCell ref="E80:H80"/>
    <mergeCell ref="E82:H82"/>
    <mergeCell ref="E86:H86"/>
    <mergeCell ref="E88:H88"/>
    <mergeCell ref="I91:J91"/>
    <mergeCell ref="A93:K93"/>
    <mergeCell ref="E97:J97"/>
  </mergeCells>
  <printOptions/>
  <pageMargins left="0.39375" right="0.39375" top="0.5909722222222222" bottom="0.5909722222222222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/>
  <cp:lastPrinted>2017-04-19T08:02:18Z</cp:lastPrinted>
  <dcterms:created xsi:type="dcterms:W3CDTF">2017-04-19T07:14:51Z</dcterms:created>
  <dcterms:modified xsi:type="dcterms:W3CDTF">2017-05-01T14:33:14Z</dcterms:modified>
  <cp:category/>
  <cp:version/>
  <cp:contentType/>
  <cp:contentStatus/>
  <cp:revision>2</cp:revision>
</cp:coreProperties>
</file>